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6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7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drawings/drawing9.xml" ContentType="application/vnd.openxmlformats-officedocument.drawing+xml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10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drawings/drawing11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12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drawings/drawing13.xml" ContentType="application/vnd.openxmlformats-officedocument.drawing+xml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drawings/drawing14.xml" ContentType="application/vnd.openxmlformats-officedocument.drawing+xml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197" documentId="8_{F99652D5-FF0C-4901-A07D-D40E95C1135E}" xr6:coauthVersionLast="47" xr6:coauthVersionMax="47" xr10:uidLastSave="{9879BB01-762B-4F42-A7FA-7B46B33AAE3F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Jan 22 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US P&amp;L Year over Year" sheetId="28" r:id="rId10"/>
    <sheet name="FINAL Approved FY 21 Bud" sheetId="15" state="hidden" r:id="rId11"/>
    <sheet name="US Cash Flow stmt" sheetId="25" r:id="rId12"/>
    <sheet name="Open AP" sheetId="26" r:id="rId13"/>
    <sheet name="Open AR" sheetId="27" r:id="rId14"/>
    <sheet name="FY21 APPROVED Budget by month" sheetId="6" state="hidden" r:id="rId15"/>
    <sheet name="FY 22 approved Bud" sheetId="29" r:id="rId16"/>
    <sheet name="FY 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7" i="29" l="1"/>
  <c r="M137" i="29"/>
  <c r="L137" i="29"/>
  <c r="F16" i="25"/>
  <c r="F12" i="25"/>
  <c r="F17" i="25" s="1"/>
  <c r="F19" i="25" s="1"/>
  <c r="I6" i="4"/>
  <c r="J6" i="4"/>
  <c r="I7" i="4"/>
  <c r="J7" i="4"/>
  <c r="I8" i="4"/>
  <c r="J8" i="4"/>
  <c r="I9" i="4"/>
  <c r="J9" i="4"/>
  <c r="G10" i="4"/>
  <c r="I10" i="4" s="1"/>
  <c r="H10" i="4"/>
  <c r="J10" i="4"/>
  <c r="I12" i="4"/>
  <c r="J12" i="4"/>
  <c r="G13" i="4"/>
  <c r="I13" i="4" s="1"/>
  <c r="H13" i="4"/>
  <c r="H17" i="4" s="1"/>
  <c r="I15" i="4"/>
  <c r="J15" i="4"/>
  <c r="G16" i="4"/>
  <c r="H16" i="4"/>
  <c r="I16" i="4"/>
  <c r="J16" i="4"/>
  <c r="G17" i="4"/>
  <c r="I20" i="4"/>
  <c r="J20" i="4"/>
  <c r="I21" i="4"/>
  <c r="J21" i="4"/>
  <c r="G22" i="4"/>
  <c r="H22" i="4"/>
  <c r="I22" i="4"/>
  <c r="J22" i="4"/>
  <c r="I24" i="4"/>
  <c r="J24" i="4"/>
  <c r="I25" i="4"/>
  <c r="J25" i="4"/>
  <c r="G26" i="4"/>
  <c r="H26" i="4"/>
  <c r="I26" i="4"/>
  <c r="J26" i="4"/>
  <c r="G27" i="4"/>
  <c r="H27" i="4"/>
  <c r="I27" i="4"/>
  <c r="J27" i="4"/>
  <c r="I29" i="4"/>
  <c r="J29" i="4"/>
  <c r="I31" i="4"/>
  <c r="J31" i="4"/>
  <c r="I32" i="4"/>
  <c r="J32" i="4"/>
  <c r="I33" i="4"/>
  <c r="J33" i="4"/>
  <c r="I34" i="4"/>
  <c r="J34" i="4"/>
  <c r="G35" i="4"/>
  <c r="I35" i="4" s="1"/>
  <c r="H35" i="4"/>
  <c r="H36" i="4" s="1"/>
  <c r="G36" i="4"/>
  <c r="I36" i="4" s="1"/>
  <c r="G37" i="4"/>
  <c r="I42" i="4"/>
  <c r="J42" i="4"/>
  <c r="G43" i="4"/>
  <c r="H43" i="4"/>
  <c r="I43" i="4"/>
  <c r="J43" i="4"/>
  <c r="I45" i="4"/>
  <c r="J45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G54" i="4"/>
  <c r="H54" i="4"/>
  <c r="I54" i="4"/>
  <c r="J54" i="4"/>
  <c r="I55" i="4"/>
  <c r="J55" i="4"/>
  <c r="G56" i="4"/>
  <c r="I56" i="4" s="1"/>
  <c r="H56" i="4"/>
  <c r="G57" i="4"/>
  <c r="I57" i="4" s="1"/>
  <c r="H57" i="4"/>
  <c r="H58" i="4" s="1"/>
  <c r="H64" i="4" s="1"/>
  <c r="G58" i="4"/>
  <c r="I60" i="4"/>
  <c r="J60" i="4"/>
  <c r="I61" i="4"/>
  <c r="J61" i="4"/>
  <c r="I62" i="4"/>
  <c r="J62" i="4"/>
  <c r="G63" i="4"/>
  <c r="H63" i="4"/>
  <c r="I63" i="4"/>
  <c r="J63" i="4"/>
  <c r="H26" i="16"/>
  <c r="H32" i="17"/>
  <c r="H32" i="16"/>
  <c r="H35" i="28"/>
  <c r="H26" i="17"/>
  <c r="J17" i="4" l="1"/>
  <c r="H37" i="4"/>
  <c r="I37" i="4" s="1"/>
  <c r="I17" i="4"/>
  <c r="I58" i="4"/>
  <c r="J58" i="4"/>
  <c r="J57" i="4"/>
  <c r="J56" i="4"/>
  <c r="J36" i="4"/>
  <c r="J35" i="4"/>
  <c r="J13" i="4"/>
  <c r="G64" i="4"/>
  <c r="J64" i="4" l="1"/>
  <c r="I64" i="4"/>
  <c r="J37" i="4"/>
  <c r="E15" i="31" l="1"/>
  <c r="H15" i="31" s="1"/>
  <c r="E13" i="31"/>
  <c r="H13" i="31" s="1"/>
  <c r="F19" i="31"/>
  <c r="I19" i="31" s="1"/>
  <c r="F20" i="31"/>
  <c r="F18" i="31"/>
  <c r="I18" i="31" s="1"/>
  <c r="J18" i="31" s="1"/>
  <c r="F17" i="31"/>
  <c r="F16" i="31"/>
  <c r="F15" i="31"/>
  <c r="I15" i="31" s="1"/>
  <c r="F14" i="31"/>
  <c r="I14" i="31" s="1"/>
  <c r="J14" i="31" s="1"/>
  <c r="F13" i="31"/>
  <c r="I6" i="31"/>
  <c r="J6" i="31" s="1"/>
  <c r="I7" i="31"/>
  <c r="I8" i="31"/>
  <c r="I9" i="31"/>
  <c r="I10" i="31"/>
  <c r="I5" i="31"/>
  <c r="F8" i="31"/>
  <c r="F6" i="31"/>
  <c r="H14" i="31"/>
  <c r="H17" i="31"/>
  <c r="H18" i="31"/>
  <c r="H20" i="31"/>
  <c r="H6" i="31"/>
  <c r="H7" i="31"/>
  <c r="H8" i="31"/>
  <c r="H9" i="31"/>
  <c r="H10" i="31"/>
  <c r="H5" i="31"/>
  <c r="E20" i="31"/>
  <c r="E18" i="31"/>
  <c r="E17" i="31"/>
  <c r="E16" i="31"/>
  <c r="H16" i="31" s="1"/>
  <c r="E14" i="31"/>
  <c r="E8" i="31"/>
  <c r="E6" i="31"/>
  <c r="E5" i="31"/>
  <c r="I20" i="31"/>
  <c r="I17" i="31"/>
  <c r="I16" i="31"/>
  <c r="K11" i="31"/>
  <c r="G10" i="31"/>
  <c r="J9" i="31"/>
  <c r="G9" i="31"/>
  <c r="G7" i="31"/>
  <c r="G6" i="31"/>
  <c r="F11" i="31"/>
  <c r="G17" i="31" l="1"/>
  <c r="J16" i="31"/>
  <c r="G14" i="31"/>
  <c r="F21" i="31"/>
  <c r="F22" i="31" s="1"/>
  <c r="F23" i="31" s="1"/>
  <c r="J8" i="31"/>
  <c r="G15" i="31"/>
  <c r="J15" i="31"/>
  <c r="J20" i="31"/>
  <c r="J17" i="31"/>
  <c r="I11" i="31"/>
  <c r="J7" i="31"/>
  <c r="J10" i="31"/>
  <c r="H11" i="31"/>
  <c r="J5" i="31"/>
  <c r="E11" i="31"/>
  <c r="G13" i="31"/>
  <c r="G5" i="31"/>
  <c r="G8" i="31"/>
  <c r="G16" i="31"/>
  <c r="G18" i="31"/>
  <c r="G20" i="31"/>
  <c r="I13" i="31"/>
  <c r="J11" i="31" l="1"/>
  <c r="G11" i="31"/>
  <c r="I21" i="31"/>
  <c r="I22" i="31" s="1"/>
  <c r="I23" i="31" s="1"/>
  <c r="J13" i="31"/>
  <c r="H2" i="26" l="1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C26" i="26"/>
  <c r="D26" i="26"/>
  <c r="E26" i="26"/>
  <c r="H26" i="26" s="1"/>
  <c r="F26" i="26"/>
  <c r="G26" i="26"/>
  <c r="G42" i="27"/>
  <c r="F42" i="27"/>
  <c r="E42" i="27"/>
  <c r="D42" i="27"/>
  <c r="C42" i="27"/>
  <c r="H42" i="27" s="1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H5" i="27"/>
  <c r="H4" i="27"/>
  <c r="H3" i="27"/>
  <c r="H2" i="27"/>
  <c r="O41" i="17"/>
  <c r="O40" i="17"/>
  <c r="O39" i="17"/>
  <c r="O38" i="17"/>
  <c r="O37" i="17"/>
  <c r="O36" i="17"/>
  <c r="O35" i="17"/>
  <c r="O34" i="17"/>
  <c r="O42" i="17" s="1"/>
  <c r="O40" i="16"/>
  <c r="O33" i="16"/>
  <c r="O34" i="16"/>
  <c r="O35" i="16"/>
  <c r="O36" i="16"/>
  <c r="O37" i="16"/>
  <c r="O38" i="16"/>
  <c r="O39" i="16"/>
  <c r="O32" i="16"/>
  <c r="G146" i="29"/>
  <c r="G145" i="29"/>
  <c r="G144" i="29"/>
  <c r="G143" i="29"/>
  <c r="G142" i="29"/>
  <c r="G141" i="29"/>
  <c r="G140" i="29"/>
  <c r="G139" i="29"/>
  <c r="G138" i="29"/>
  <c r="J5" i="28"/>
  <c r="K5" i="28"/>
  <c r="J7" i="28"/>
  <c r="K7" i="28"/>
  <c r="J8" i="28"/>
  <c r="K8" i="28"/>
  <c r="J9" i="28"/>
  <c r="K9" i="28"/>
  <c r="J10" i="28"/>
  <c r="K10" i="28"/>
  <c r="H11" i="28"/>
  <c r="J11" i="28" s="1"/>
  <c r="I11" i="28"/>
  <c r="K11" i="28" s="1"/>
  <c r="J13" i="28"/>
  <c r="K13" i="28"/>
  <c r="J14" i="28"/>
  <c r="K14" i="28"/>
  <c r="J15" i="28"/>
  <c r="K15" i="28"/>
  <c r="H16" i="28"/>
  <c r="J16" i="28" s="1"/>
  <c r="I16" i="28"/>
  <c r="K16" i="28"/>
  <c r="J18" i="28"/>
  <c r="K18" i="28"/>
  <c r="J19" i="28"/>
  <c r="K19" i="28"/>
  <c r="J20" i="28"/>
  <c r="K20" i="28"/>
  <c r="H21" i="28"/>
  <c r="I21" i="28"/>
  <c r="J21" i="28" s="1"/>
  <c r="H22" i="28"/>
  <c r="I22" i="28"/>
  <c r="J22" i="28" s="1"/>
  <c r="H23" i="28"/>
  <c r="J26" i="28"/>
  <c r="K26" i="28"/>
  <c r="J27" i="28"/>
  <c r="K27" i="28"/>
  <c r="J28" i="28"/>
  <c r="K28" i="28"/>
  <c r="J29" i="28"/>
  <c r="K29" i="28"/>
  <c r="J31" i="28"/>
  <c r="K31" i="28"/>
  <c r="J32" i="28"/>
  <c r="K32" i="28"/>
  <c r="H33" i="28"/>
  <c r="J33" i="28" s="1"/>
  <c r="I33" i="28"/>
  <c r="K33" i="28" s="1"/>
  <c r="J34" i="28"/>
  <c r="K34" i="28"/>
  <c r="J35" i="28"/>
  <c r="K35" i="28"/>
  <c r="J36" i="28"/>
  <c r="K36" i="28"/>
  <c r="J38" i="28"/>
  <c r="K38" i="28"/>
  <c r="J39" i="28"/>
  <c r="K39" i="28"/>
  <c r="H40" i="28"/>
  <c r="I40" i="28"/>
  <c r="J40" i="28" s="1"/>
  <c r="K40" i="28"/>
  <c r="H41" i="28"/>
  <c r="J42" i="28"/>
  <c r="K42" i="28"/>
  <c r="J43" i="28"/>
  <c r="K43" i="28"/>
  <c r="J45" i="28"/>
  <c r="K45" i="28"/>
  <c r="J46" i="28"/>
  <c r="K46" i="28"/>
  <c r="J47" i="28"/>
  <c r="K47" i="28"/>
  <c r="J48" i="28"/>
  <c r="K48" i="28"/>
  <c r="H49" i="28"/>
  <c r="I49" i="28"/>
  <c r="J49" i="28" s="1"/>
  <c r="K49" i="28"/>
  <c r="J51" i="28"/>
  <c r="K51" i="28"/>
  <c r="J52" i="28"/>
  <c r="K52" i="28"/>
  <c r="J53" i="28"/>
  <c r="K53" i="28"/>
  <c r="H54" i="28"/>
  <c r="J54" i="28" s="1"/>
  <c r="I54" i="28"/>
  <c r="K54" i="28" s="1"/>
  <c r="J55" i="28"/>
  <c r="K55" i="28"/>
  <c r="H56" i="28"/>
  <c r="H57" i="28" s="1"/>
  <c r="H58" i="28" s="1"/>
  <c r="H42" i="17"/>
  <c r="H37" i="17"/>
  <c r="H31" i="17"/>
  <c r="H30" i="17"/>
  <c r="H24" i="17"/>
  <c r="H14" i="17"/>
  <c r="H15" i="17" s="1"/>
  <c r="H12" i="17"/>
  <c r="H7" i="17"/>
  <c r="H7" i="16"/>
  <c r="H14" i="16" s="1"/>
  <c r="H15" i="16" s="1"/>
  <c r="H12" i="16"/>
  <c r="H24" i="16"/>
  <c r="H31" i="16" s="1"/>
  <c r="H30" i="16"/>
  <c r="H37" i="16"/>
  <c r="H42" i="16"/>
  <c r="H44" i="17" l="1"/>
  <c r="H45" i="17" s="1"/>
  <c r="H46" i="17" s="1"/>
  <c r="H44" i="16"/>
  <c r="H45" i="16" s="1"/>
  <c r="H46" i="16" s="1"/>
  <c r="E19" i="31"/>
  <c r="J23" i="28"/>
  <c r="I41" i="28"/>
  <c r="K22" i="28"/>
  <c r="K21" i="28"/>
  <c r="I23" i="28"/>
  <c r="H19" i="31" l="1"/>
  <c r="G19" i="31"/>
  <c r="G21" i="31" s="1"/>
  <c r="G22" i="31" s="1"/>
  <c r="E21" i="31"/>
  <c r="E22" i="31" s="1"/>
  <c r="E23" i="31" s="1"/>
  <c r="G23" i="31" s="1"/>
  <c r="K41" i="28"/>
  <c r="I56" i="28"/>
  <c r="J41" i="28"/>
  <c r="I57" i="28"/>
  <c r="K23" i="28"/>
  <c r="J19" i="31" l="1"/>
  <c r="J21" i="31" s="1"/>
  <c r="J22" i="31" s="1"/>
  <c r="H21" i="31"/>
  <c r="H22" i="31" s="1"/>
  <c r="H23" i="31" s="1"/>
  <c r="J23" i="31" s="1"/>
  <c r="K56" i="28"/>
  <c r="J56" i="28"/>
  <c r="I58" i="28"/>
  <c r="K57" i="28"/>
  <c r="J57" i="28"/>
  <c r="K58" i="28" l="1"/>
  <c r="J58" i="28"/>
  <c r="G134" i="29" l="1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135" i="29" s="1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P133" i="30"/>
  <c r="W133" i="30" s="1"/>
  <c r="N133" i="30"/>
  <c r="BA133" i="30" s="1"/>
  <c r="M133" i="30"/>
  <c r="AZ133" i="30" s="1"/>
  <c r="H133" i="30"/>
  <c r="H134" i="30" s="1"/>
  <c r="AU134" i="30" s="1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K127" i="30" s="1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BL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L120" i="30" s="1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AS120" i="30"/>
  <c r="W120" i="30"/>
  <c r="X131" i="30" s="1"/>
  <c r="J120" i="30"/>
  <c r="G120" i="30"/>
  <c r="F120" i="30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AS93" i="30"/>
  <c r="W93" i="30"/>
  <c r="V93" i="30"/>
  <c r="S93" i="30"/>
  <c r="F93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S88" i="30"/>
  <c r="W88" i="30"/>
  <c r="G88" i="30"/>
  <c r="F88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V72" i="30"/>
  <c r="G72" i="30"/>
  <c r="S72" i="30" s="1"/>
  <c r="F72" i="30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G64" i="30"/>
  <c r="F64" i="30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Q51" i="30"/>
  <c r="F51" i="30"/>
  <c r="S50" i="30"/>
  <c r="S49" i="30"/>
  <c r="D49" i="30"/>
  <c r="V48" i="30"/>
  <c r="P48" i="30"/>
  <c r="S48" i="30" s="1"/>
  <c r="F48" i="30"/>
  <c r="E48" i="30"/>
  <c r="W47" i="30"/>
  <c r="O47" i="30"/>
  <c r="F47" i="30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J18" i="30"/>
  <c r="BI18" i="30"/>
  <c r="BH18" i="30"/>
  <c r="BG18" i="30"/>
  <c r="BF18" i="30"/>
  <c r="BK18" i="30" s="1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J17" i="30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P14" i="30"/>
  <c r="S14" i="30" s="1"/>
  <c r="F14" i="30"/>
  <c r="E14" i="30"/>
  <c r="O13" i="30"/>
  <c r="O38" i="30" s="1"/>
  <c r="F13" i="30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L9" i="30" s="1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V9" i="30"/>
  <c r="P9" i="30"/>
  <c r="W9" i="30" s="1"/>
  <c r="F9" i="30"/>
  <c r="BJ8" i="30"/>
  <c r="BI8" i="30"/>
  <c r="BH8" i="30"/>
  <c r="BL8" i="30" s="1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G37" i="29" l="1"/>
  <c r="M119" i="29"/>
  <c r="G125" i="29"/>
  <c r="G130" i="29"/>
  <c r="H130" i="29" s="1"/>
  <c r="BL19" i="30"/>
  <c r="BL24" i="30"/>
  <c r="BL17" i="30"/>
  <c r="AS31" i="30"/>
  <c r="G31" i="30"/>
  <c r="Q133" i="30"/>
  <c r="BD133" i="30" s="1"/>
  <c r="S51" i="30"/>
  <c r="BL95" i="30"/>
  <c r="BL118" i="30"/>
  <c r="BK118" i="30"/>
  <c r="BK3" i="30"/>
  <c r="S13" i="30"/>
  <c r="V17" i="30"/>
  <c r="BK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Z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AT88" i="30"/>
  <c r="BL88" i="30" s="1"/>
  <c r="S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C133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G131" i="29" l="1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S31" i="30"/>
  <c r="K134" i="30"/>
  <c r="AX134" i="30" s="1"/>
  <c r="BL31" i="30"/>
  <c r="W134" i="30" l="1"/>
  <c r="BC134" i="30"/>
  <c r="F54" i="30" l="1"/>
  <c r="F128" i="30"/>
  <c r="G128" i="30" s="1"/>
  <c r="S128" i="30" s="1"/>
  <c r="F36" i="30"/>
  <c r="AS36" i="30" s="1"/>
  <c r="BL36" i="30" s="1"/>
  <c r="F65" i="30"/>
  <c r="G65" i="30" s="1"/>
  <c r="F123" i="30"/>
  <c r="F130" i="30"/>
  <c r="F12" i="30"/>
  <c r="L12" i="30" s="1"/>
  <c r="S12" i="30" s="1"/>
  <c r="F91" i="30"/>
  <c r="F7" i="30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F111" i="30"/>
  <c r="G111" i="30" s="1"/>
  <c r="G124" i="30" l="1"/>
  <c r="AS124" i="30"/>
  <c r="AS33" i="30"/>
  <c r="BL33" i="30" s="1"/>
  <c r="G33" i="30"/>
  <c r="AS30" i="30"/>
  <c r="G30" i="30"/>
  <c r="AS123" i="30"/>
  <c r="G123" i="30"/>
  <c r="S101" i="30"/>
  <c r="V101" i="30"/>
  <c r="AS18" i="30"/>
  <c r="Q18" i="30"/>
  <c r="AS91" i="30"/>
  <c r="G91" i="30"/>
  <c r="V111" i="30"/>
  <c r="S111" i="30"/>
  <c r="S46" i="30"/>
  <c r="V46" i="30"/>
  <c r="F129" i="30"/>
  <c r="G129" i="30" s="1"/>
  <c r="S129" i="30" s="1"/>
  <c r="G34" i="30"/>
  <c r="AS34" i="30"/>
  <c r="S76" i="30"/>
  <c r="V76" i="30"/>
  <c r="Y82" i="30" s="1"/>
  <c r="G131" i="30"/>
  <c r="AS131" i="30"/>
  <c r="G42" i="30"/>
  <c r="F133" i="30"/>
  <c r="AS133" i="30" s="1"/>
  <c r="L7" i="30"/>
  <c r="F38" i="30"/>
  <c r="AS7" i="30"/>
  <c r="AS130" i="30"/>
  <c r="G130" i="30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AS38" i="30" l="1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S30" i="30"/>
  <c r="BL34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BL30" i="30"/>
  <c r="AT124" i="30"/>
  <c r="BL124" i="30" s="1"/>
  <c r="V124" i="30"/>
  <c r="S124" i="30"/>
  <c r="G136" i="30"/>
  <c r="AT136" i="30" s="1"/>
  <c r="AT38" i="30" l="1"/>
  <c r="G134" i="30"/>
  <c r="V38" i="30"/>
  <c r="X152" i="30"/>
  <c r="BD38" i="30"/>
  <c r="Q134" i="30"/>
  <c r="BD134" i="30" s="1"/>
  <c r="AT133" i="30"/>
  <c r="V133" i="30"/>
  <c r="S38" i="30"/>
  <c r="AV133" i="30"/>
  <c r="BL133" i="30" s="1"/>
  <c r="I134" i="30"/>
  <c r="AV134" i="30" s="1"/>
  <c r="S133" i="30"/>
  <c r="R135" i="30"/>
  <c r="BE135" i="30" s="1"/>
  <c r="BL135" i="30" s="1"/>
  <c r="BE134" i="30"/>
  <c r="AY38" i="30"/>
  <c r="BL38" i="30" s="1"/>
  <c r="L134" i="30"/>
  <c r="AY134" i="30" s="1"/>
  <c r="AT134" i="30" l="1"/>
  <c r="BL134" i="30" s="1"/>
  <c r="V134" i="30"/>
  <c r="S134" i="30"/>
  <c r="T10" i="6" l="1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<sst xmlns="http://schemas.openxmlformats.org/spreadsheetml/2006/main" count="33298" uniqueCount="7843">
  <si>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</si>
  <si>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</si>
  <si>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</si>
  <si>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</si>
  <si>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</si>
  <si>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</si>
  <si>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</si>
  <si>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</si>
  <si>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</si>
  <si>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</si>
  <si>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</si>
  <si>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</si>
  <si>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</si>
  <si>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</si>
  <si>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</si>
  <si>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</si>
  <si>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</si>
  <si>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</si>
  <si>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</si>
  <si>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</si>
  <si>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</si>
  <si>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</si>
  <si>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</si>
  <si>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</si>
  <si>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</si>
  <si>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</si>
  <si>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</si>
  <si>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</si>
  <si>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</si>
  <si>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</si>
  <si>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</si>
  <si>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</si>
  <si>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</si>
  <si>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</si>
  <si>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</si>
  <si>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</si>
  <si>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</si>
  <si>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</si>
  <si>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</si>
  <si>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</si>
  <si>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</si>
  <si>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</si>
  <si>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</si>
  <si>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</si>
  <si>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</si>
  <si>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</si>
  <si>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</si>
  <si>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</si>
  <si>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</si>
  <si>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</si>
  <si>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</si>
  <si>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</si>
  <si>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</si>
  <si>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</si>
  <si>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</si>
  <si>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</si>
  <si>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</si>
  <si>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</si>
  <si>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</si>
  <si>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</si>
  <si>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</si>
  <si>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</si>
  <si>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</si>
  <si>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</si>
  <si>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</si>
  <si>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</si>
  <si>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</si>
  <si>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</si>
  <si>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</si>
  <si>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</si>
  <si>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</si>
  <si>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</si>
  <si>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</si>
  <si>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</si>
  <si>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</si>
  <si>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</si>
  <si>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</si>
  <si>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</si>
  <si>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</si>
  <si>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</si>
  <si>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</si>
  <si>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</si>
  <si>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</si>
  <si>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</si>
  <si>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</si>
  <si>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</si>
  <si>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</si>
  <si>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</si>
  <si>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</si>
  <si>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</si>
  <si>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</si>
  <si>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</si>
  <si>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</si>
  <si>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</si>
  <si>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</si>
  <si>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</si>
  <si>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</si>
  <si>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</si>
  <si>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</si>
  <si>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</si>
  <si>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</si>
  <si>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</si>
  <si>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</si>
  <si>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</si>
  <si>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</si>
  <si>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</si>
  <si>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</si>
  <si>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</si>
  <si>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</si>
  <si>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</si>
  <si>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</si>
  <si>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</si>
  <si>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</si>
  <si>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</si>
  <si>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</si>
  <si>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</si>
  <si>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</si>
  <si>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</si>
  <si>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</si>
  <si>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</si>
  <si>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</si>
  <si>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</si>
  <si>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</si>
  <si>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</si>
  <si>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</si>
  <si>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</si>
  <si>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</si>
  <si>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</si>
  <si>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</si>
  <si>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</si>
  <si>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</si>
  <si>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</si>
  <si>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</si>
  <si>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</si>
  <si>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</si>
  <si>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</si>
  <si>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</si>
  <si>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</si>
  <si>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</si>
  <si>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</si>
  <si>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</si>
  <si>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</si>
  <si>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</si>
  <si>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</si>
  <si>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</si>
  <si>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</si>
  <si>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</si>
  <si>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</si>
  <si>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</si>
  <si>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</si>
  <si>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</si>
  <si>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</si>
  <si>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</si>
  <si>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</si>
  <si>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</si>
  <si>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</si>
  <si>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</si>
  <si>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</si>
  <si>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</si>
  <si>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</si>
  <si>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</si>
  <si>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</si>
  <si>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</si>
  <si>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</si>
  <si>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</si>
  <si>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</si>
  <si>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</si>
  <si>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</si>
  <si>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</si>
  <si>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</si>
  <si>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</si>
  <si>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</si>
  <si>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</si>
  <si>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</si>
  <si>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</si>
  <si>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</si>
  <si>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</si>
  <si>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</si>
  <si>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</si>
  <si>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</si>
  <si>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</si>
  <si>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</si>
  <si>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</si>
  <si>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</si>
  <si>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</si>
  <si>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</si>
  <si>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</si>
  <si>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</si>
  <si>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</si>
  <si>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</si>
  <si>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</si>
  <si>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</si>
  <si>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</si>
  <si>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</si>
  <si>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</si>
  <si>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</si>
  <si>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</si>
  <si>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</si>
  <si>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</si>
  <si>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</si>
  <si>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</si>
  <si>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</si>
  <si>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</si>
  <si>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</si>
  <si>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</si>
  <si>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</si>
  <si>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</si>
  <si>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</si>
  <si>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</si>
  <si>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</si>
  <si>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</si>
  <si>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</si>
  <si>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</si>
  <si>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</si>
  <si>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</si>
  <si>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</si>
  <si>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</si>
  <si>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</si>
  <si>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</si>
  <si>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</si>
  <si>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</si>
  <si>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</si>
  <si>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</si>
  <si>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</si>
  <si>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</si>
  <si>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</si>
  <si>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</si>
  <si>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</si>
  <si>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</si>
  <si>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</si>
  <si>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</si>
  <si>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</si>
  <si>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</si>
  <si>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</si>
  <si>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</si>
  <si>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</si>
  <si>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</si>
  <si>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</si>
  <si>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</si>
  <si>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</si>
  <si>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</si>
  <si>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</si>
  <si>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</si>
  <si>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</si>
  <si>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</si>
  <si>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</si>
  <si>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</si>
  <si>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</si>
  <si>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</si>
  <si>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</si>
  <si>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</si>
  <si>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</si>
  <si>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</si>
  <si>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</si>
  <si>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</si>
  <si>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</si>
  <si>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</si>
  <si>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</si>
  <si>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</si>
  <si>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</si>
  <si>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</si>
  <si>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</si>
  <si>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</si>
  <si>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</si>
  <si>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</si>
  <si>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</si>
  <si>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</si>
  <si>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</si>
  <si>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</si>
  <si>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</si>
  <si>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</si>
  <si>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</si>
  <si>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</si>
  <si>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</si>
  <si>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</si>
  <si>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</si>
  <si>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</si>
  <si>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</si>
  <si>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</si>
  <si>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</si>
  <si>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</si>
  <si>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</si>
  <si>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</si>
  <si>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</si>
  <si>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</si>
  <si>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</si>
  <si>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</si>
  <si>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</si>
  <si>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</si>
  <si>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</si>
  <si>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</si>
  <si>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</si>
  <si>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</si>
  <si>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</si>
  <si>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</si>
  <si>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</si>
  <si>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</si>
  <si>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</si>
  <si>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</si>
  <si>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</si>
  <si>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</si>
  <si>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</si>
  <si>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</si>
  <si>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</si>
  <si>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</si>
  <si>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</si>
  <si>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</si>
  <si>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</si>
  <si>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</si>
  <si>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</si>
  <si>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</si>
  <si>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</si>
  <si>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</si>
  <si>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</si>
  <si>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</si>
  <si>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</si>
  <si>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</si>
  <si>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</si>
  <si>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</si>
  <si>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</si>
  <si>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</si>
  <si>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</si>
  <si>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</si>
  <si>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</si>
  <si>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</si>
  <si>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</si>
  <si>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</si>
  <si>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</si>
  <si>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</si>
  <si>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</si>
  <si>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</si>
  <si>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</si>
  <si>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</si>
  <si>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</si>
  <si>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</si>
  <si>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</si>
  <si>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</si>
  <si>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</si>
  <si>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</si>
  <si>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</si>
  <si>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</si>
  <si>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</si>
  <si>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</si>
  <si>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</si>
  <si>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</si>
  <si>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</si>
  <si>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</si>
  <si>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</si>
  <si>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</si>
  <si>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</si>
  <si>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</si>
  <si>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</si>
  <si>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</si>
  <si>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</si>
  <si>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</si>
  <si>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</si>
  <si>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</si>
  <si>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</si>
  <si>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</si>
  <si>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</si>
  <si>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</si>
  <si>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</si>
  <si>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</si>
  <si>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</si>
  <si>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</si>
  <si>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</si>
  <si>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</si>
  <si>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</si>
  <si>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</si>
  <si>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</si>
  <si>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</si>
  <si>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</si>
  <si>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</si>
  <si>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</si>
  <si>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</si>
  <si>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</si>
  <si>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</si>
  <si>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</si>
  <si>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</si>
  <si>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</si>
  <si>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</si>
  <si>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</si>
  <si>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</si>
  <si>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</si>
  <si>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</si>
  <si>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</si>
  <si>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</si>
  <si>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</si>
  <si>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</si>
  <si>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</si>
  <si>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</si>
  <si>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</si>
  <si>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</si>
  <si>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</si>
  <si>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</si>
  <si>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</si>
  <si>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</si>
  <si>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</si>
  <si>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</si>
  <si>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</si>
  <si>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</si>
  <si>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</si>
  <si>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</si>
  <si>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</si>
  <si>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</si>
  <si>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</si>
  <si>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</si>
  <si>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</si>
  <si>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</si>
  <si>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</si>
  <si>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</si>
  <si>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</si>
  <si>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</si>
  <si>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</si>
  <si>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</si>
  <si>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</si>
  <si>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</si>
  <si>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</si>
  <si>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</si>
  <si>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</si>
  <si>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</si>
  <si>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</si>
  <si>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</si>
  <si>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</si>
  <si>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</si>
  <si>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</si>
  <si>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</si>
  <si>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</si>
  <si>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</si>
  <si>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</si>
  <si>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</si>
  <si>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</si>
  <si>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</si>
  <si>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</si>
  <si>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</si>
  <si>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</si>
  <si>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</si>
  <si>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</si>
  <si>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</si>
  <si>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</si>
  <si>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</si>
  <si>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</si>
  <si>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</si>
  <si>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</si>
  <si>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</si>
  <si>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</si>
  <si>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</si>
  <si>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</si>
  <si>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</si>
  <si>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</si>
  <si>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</si>
  <si>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</si>
  <si>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</si>
  <si>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</si>
  <si>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</si>
  <si>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</si>
  <si>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</si>
  <si>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</si>
  <si>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</si>
  <si>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</si>
  <si>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</si>
  <si>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</si>
  <si>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</si>
  <si>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</si>
  <si>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</si>
  <si>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</si>
  <si>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</si>
  <si>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</si>
  <si>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</si>
  <si>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</si>
  <si>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</si>
  <si>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</si>
  <si>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</si>
  <si>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</si>
  <si>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</si>
  <si>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</si>
  <si>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</si>
  <si>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</si>
  <si>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</si>
  <si>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</si>
  <si>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</si>
  <si>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</si>
  <si>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</si>
  <si>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</si>
  <si>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</si>
  <si>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</si>
  <si>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</si>
  <si>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</si>
  <si>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</si>
  <si>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</si>
  <si>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</si>
  <si>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</si>
  <si>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</si>
  <si>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</si>
  <si>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</si>
  <si>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</si>
  <si>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</si>
  <si>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</si>
  <si>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</si>
  <si>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</si>
  <si>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</si>
  <si>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</si>
  <si>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</si>
  <si>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</si>
  <si>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</si>
  <si>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</si>
  <si>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</si>
  <si>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</si>
  <si>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</si>
  <si>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</si>
  <si>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</si>
  <si>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</si>
  <si>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</si>
  <si>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</si>
  <si>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</si>
  <si>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</si>
  <si>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</si>
  <si>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</si>
  <si>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</si>
  <si>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</si>
  <si>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</si>
  <si>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</si>
  <si>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</si>
  <si>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</si>
  <si>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</si>
  <si>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</si>
  <si>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</si>
  <si>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</si>
  <si>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</si>
  <si>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</si>
  <si>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</si>
  <si>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</si>
  <si>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</si>
  <si>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</si>
  <si>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</si>
  <si>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</si>
  <si>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</si>
  <si>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</si>
  <si>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</si>
  <si>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</si>
  <si>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</si>
  <si>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</si>
  <si>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</si>
  <si>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</si>
  <si>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</si>
  <si>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</si>
  <si>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</si>
  <si>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</si>
  <si>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</si>
  <si>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</si>
  <si>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</si>
  <si>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</si>
  <si>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</si>
  <si>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</si>
  <si>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</si>
  <si>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</si>
  <si>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</si>
  <si>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</si>
  <si>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</si>
  <si>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</si>
  <si>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</si>
  <si>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</si>
  <si>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</si>
  <si>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</si>
  <si>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</si>
  <si>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</si>
  <si>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</si>
  <si>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</si>
  <si>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</si>
  <si>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</si>
  <si>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</si>
  <si>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</si>
  <si>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</si>
  <si>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</si>
  <si>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</si>
  <si>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</si>
  <si>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</si>
  <si>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</si>
  <si>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</si>
  <si>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</si>
  <si>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</si>
  <si>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</si>
  <si>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</si>
  <si>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</si>
  <si>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</si>
  <si>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</si>
  <si>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</si>
  <si>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</si>
  <si>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</si>
  <si>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</si>
  <si>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</si>
  <si>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</si>
  <si>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</si>
  <si>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</si>
  <si>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</si>
  <si>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</si>
  <si>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</si>
  <si>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</si>
  <si>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</si>
  <si>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</si>
  <si>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</si>
  <si>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</si>
  <si>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</si>
  <si>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</si>
  <si>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</si>
  <si>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</si>
  <si>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</si>
  <si>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</si>
  <si>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</si>
  <si>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</si>
  <si>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</si>
  <si>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</si>
  <si>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</si>
  <si>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</si>
  <si>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</si>
  <si>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</si>
  <si>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</si>
  <si>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</si>
  <si>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</si>
  <si>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</si>
  <si>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</si>
  <si>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</si>
  <si>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</si>
  <si>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</si>
  <si>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</si>
  <si>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</si>
  <si>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</si>
  <si>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</si>
  <si>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</si>
  <si>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</si>
  <si>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</si>
  <si>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</si>
  <si>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</si>
  <si>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</si>
  <si>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</si>
  <si>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</si>
  <si>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</si>
  <si>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</si>
  <si>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</si>
  <si>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</si>
  <si>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</si>
  <si>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</si>
  <si>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</si>
  <si>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</si>
  <si>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</si>
  <si>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</si>
  <si>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</si>
  <si>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</si>
  <si>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</si>
  <si>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</si>
  <si>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</si>
  <si>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</si>
  <si>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</si>
  <si>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</si>
  <si>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</si>
  <si>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</si>
  <si>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</si>
  <si>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</si>
  <si>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</si>
  <si>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</si>
  <si>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</si>
  <si>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</si>
  <si>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</si>
  <si>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</si>
  <si>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</si>
  <si>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</si>
  <si>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</si>
  <si>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</si>
  <si>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</si>
  <si>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</si>
  <si>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</si>
  <si>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</si>
  <si>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</si>
  <si>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</si>
  <si>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</si>
  <si>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</si>
  <si>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</si>
  <si>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</si>
  <si>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</si>
  <si>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</si>
  <si>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</si>
  <si>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</si>
  <si>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</si>
  <si>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</si>
  <si>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</si>
  <si>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</si>
  <si>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</si>
  <si>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</si>
  <si>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</si>
  <si>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</si>
  <si>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</si>
  <si>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</si>
  <si>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</si>
  <si>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</si>
  <si>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</si>
  <si>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</si>
  <si>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</si>
  <si>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</si>
  <si>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</si>
  <si>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</si>
  <si>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</si>
  <si>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</si>
  <si>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</si>
  <si>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</si>
  <si>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</si>
  <si>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</si>
  <si>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</si>
  <si>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</si>
  <si>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</si>
  <si>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</si>
  <si>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</si>
  <si>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</si>
  <si>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</si>
  <si>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</si>
  <si>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</si>
  <si>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</si>
  <si>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</si>
  <si>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</si>
  <si>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</si>
  <si>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</si>
  <si>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</si>
  <si>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</si>
  <si>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</si>
  <si>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</si>
  <si>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</si>
  <si>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</si>
  <si>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</si>
  <si>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</si>
  <si>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</si>
  <si>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</si>
  <si>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</si>
  <si>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</si>
  <si>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</si>
  <si>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</si>
  <si>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</si>
  <si>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</si>
  <si>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</si>
  <si>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</si>
  <si>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</si>
  <si>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</si>
  <si>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</si>
  <si>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</si>
  <si>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</si>
  <si>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</si>
  <si>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</si>
  <si>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</si>
  <si>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</si>
  <si>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</si>
  <si>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</si>
  <si>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</si>
  <si>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</si>
  <si>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</si>
  <si>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</si>
  <si>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</si>
  <si>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</si>
  <si>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</si>
  <si>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</si>
  <si>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</si>
  <si>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</si>
  <si>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</si>
  <si>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</si>
  <si>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</si>
  <si>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</si>
  <si>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</si>
  <si>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</si>
  <si>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</si>
  <si>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</si>
  <si>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</si>
  <si>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</si>
  <si>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</si>
  <si>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</si>
  <si>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</si>
  <si>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</si>
  <si>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</si>
  <si>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</si>
  <si>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</si>
  <si>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</si>
  <si>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</si>
  <si>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</si>
  <si>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</si>
  <si>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</si>
  <si>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</si>
  <si>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</si>
  <si>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</si>
  <si>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</si>
  <si>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</si>
  <si>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</si>
  <si>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</si>
  <si>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</si>
  <si>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</si>
  <si>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</si>
  <si>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</si>
  <si>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</si>
  <si>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</si>
  <si>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</si>
  <si>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</si>
  <si>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</si>
  <si>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</si>
  <si>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</si>
  <si>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</si>
  <si>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</si>
  <si>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</si>
  <si>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</si>
  <si>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</si>
  <si>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</si>
  <si>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</si>
  <si>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</si>
  <si>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</si>
  <si>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</si>
  <si>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</si>
  <si>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</si>
  <si>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</si>
  <si>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</si>
  <si>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</si>
  <si>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</si>
  <si>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</si>
  <si>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</si>
  <si>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</si>
  <si>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</si>
  <si>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</si>
  <si>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</si>
  <si>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</si>
  <si>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</si>
  <si>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</si>
  <si>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</si>
  <si>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</si>
  <si>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</si>
  <si>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</si>
  <si>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</si>
  <si>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</si>
  <si>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</si>
  <si>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</si>
  <si>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</si>
  <si>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</si>
  <si>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</si>
  <si>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</si>
  <si>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</si>
  <si>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</si>
  <si>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</si>
  <si>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</si>
  <si>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</si>
  <si>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</si>
  <si>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</si>
  <si>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</si>
  <si>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</si>
  <si>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</si>
  <si>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</si>
  <si>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</si>
  <si>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</si>
  <si>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</si>
  <si>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</si>
  <si>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</si>
  <si>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</si>
  <si>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</si>
  <si>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</si>
  <si>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</si>
  <si>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</si>
  <si>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</si>
  <si>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</si>
  <si>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</si>
  <si>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</si>
  <si>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</si>
  <si>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</si>
  <si>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</si>
  <si>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</si>
  <si>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</si>
  <si>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</si>
  <si>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</si>
  <si>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</si>
  <si>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</si>
  <si>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</si>
  <si>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</si>
  <si>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</si>
  <si>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</si>
  <si>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</si>
  <si>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</si>
  <si>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</si>
  <si>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</si>
  <si>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</si>
  <si>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</si>
  <si>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</si>
  <si>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</si>
  <si>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</si>
  <si>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</si>
  <si>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</si>
  <si>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</si>
  <si>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</si>
  <si>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</si>
  <si>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</si>
  <si>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</si>
  <si>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</si>
  <si>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</si>
  <si>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</si>
  <si>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</si>
  <si>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</si>
  <si>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</si>
  <si>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</si>
  <si>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</si>
  <si>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</si>
  <si>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</si>
  <si>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</si>
  <si>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</si>
  <si>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</si>
  <si>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</si>
  <si>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</si>
  <si>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</si>
  <si>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</si>
  <si>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</si>
  <si>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</si>
  <si>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</si>
  <si>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</si>
  <si>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</si>
  <si>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</si>
  <si>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</si>
  <si>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</si>
  <si>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</si>
  <si>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</si>
  <si>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</si>
  <si>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</si>
  <si>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</si>
  <si>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</si>
  <si>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</si>
  <si>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</si>
  <si>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</si>
  <si>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</si>
  <si>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</si>
  <si>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</si>
  <si>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</si>
  <si>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</si>
  <si>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</si>
  <si>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</si>
  <si>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</si>
  <si>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</si>
  <si>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</si>
  <si>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</si>
  <si>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</si>
  <si>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</si>
  <si>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</si>
  <si>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</si>
  <si>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</si>
  <si>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</si>
  <si>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</si>
  <si>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</si>
  <si>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</si>
  <si>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</si>
  <si>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</si>
  <si>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</si>
  <si>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</si>
  <si>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</si>
  <si>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</si>
  <si>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</si>
  <si>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</si>
  <si>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</si>
  <si>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</si>
  <si>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</si>
  <si>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</si>
  <si>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</si>
  <si>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</si>
  <si>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</si>
  <si>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</si>
  <si>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</si>
  <si>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</si>
  <si>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</si>
  <si>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</si>
  <si>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</si>
  <si>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</si>
  <si>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</si>
  <si>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</si>
  <si>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</si>
  <si>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</si>
  <si>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</si>
  <si>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</si>
  <si>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</si>
  <si>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</si>
  <si>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</si>
  <si>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</si>
  <si>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</si>
  <si>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</si>
  <si>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</si>
  <si>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</si>
  <si>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</si>
  <si>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</si>
  <si>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</si>
  <si>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</si>
  <si>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</si>
  <si>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</si>
  <si>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</si>
  <si>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</si>
  <si>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</si>
  <si>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</si>
  <si>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</si>
  <si>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</si>
  <si>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</si>
  <si>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</si>
  <si>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</si>
  <si>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</si>
  <si>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</si>
  <si>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</si>
  <si>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</si>
  <si>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</si>
  <si>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</si>
  <si>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</si>
  <si>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</si>
  <si>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</si>
  <si>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</si>
  <si>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</si>
  <si>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</si>
  <si>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</si>
  <si>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</si>
  <si>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</si>
  <si>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</si>
  <si>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</si>
  <si>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</si>
  <si>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</si>
  <si>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</si>
  <si>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</si>
  <si>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</si>
  <si>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</si>
  <si>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</si>
  <si>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</si>
  <si>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</si>
  <si>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</si>
  <si>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</si>
  <si>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</si>
  <si>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</si>
  <si>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</si>
  <si>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</si>
  <si>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</si>
  <si>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</si>
  <si>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</si>
  <si>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</si>
  <si>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</si>
  <si>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</si>
  <si>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</si>
  <si>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</si>
  <si>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</si>
  <si>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</si>
  <si>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</si>
  <si>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</si>
  <si>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</si>
  <si>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</si>
  <si>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</si>
  <si>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</si>
  <si>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</si>
  <si>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</si>
  <si>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</si>
  <si>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</si>
  <si>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</si>
  <si>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</si>
  <si>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</si>
  <si>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</si>
  <si>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</si>
  <si>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</si>
  <si>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</si>
  <si>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</si>
  <si>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</si>
  <si>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</si>
  <si>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</si>
  <si>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</si>
  <si>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</si>
  <si>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</si>
  <si>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</si>
  <si>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</si>
  <si>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</si>
  <si>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</si>
  <si>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</si>
  <si>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</si>
  <si>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</si>
  <si>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</si>
  <si>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</si>
  <si>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</si>
  <si>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</si>
  <si>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</si>
  <si>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</si>
  <si>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</si>
  <si>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</si>
  <si>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</si>
  <si>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</si>
  <si>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</si>
  <si>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</si>
  <si>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</si>
  <si>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</si>
  <si>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</si>
  <si>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</si>
  <si>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</si>
  <si>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</si>
  <si>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</si>
  <si>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</si>
  <si>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</si>
  <si>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</si>
  <si>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</si>
  <si>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</si>
  <si>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</si>
  <si>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</si>
  <si>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</si>
  <si>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</si>
  <si>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</si>
  <si>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</si>
  <si>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</si>
  <si>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</si>
  <si>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</si>
  <si>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</si>
  <si>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</si>
  <si>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</si>
  <si>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</si>
  <si>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</si>
  <si>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</si>
  <si>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</si>
  <si>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</si>
  <si>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</si>
  <si>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</si>
  <si>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</si>
  <si>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</si>
  <si>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</si>
  <si>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</si>
  <si>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</si>
  <si>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</si>
  <si>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</si>
  <si>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</si>
  <si>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</si>
  <si>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</si>
  <si>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</si>
  <si>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</si>
  <si>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</si>
  <si>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</si>
  <si>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</si>
  <si>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</si>
  <si>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</si>
  <si>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</si>
  <si>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</si>
  <si>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</si>
  <si>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</si>
  <si>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</si>
  <si>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</si>
  <si>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</si>
  <si>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</si>
  <si>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</si>
  <si>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</si>
  <si>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</si>
  <si>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</si>
  <si>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</si>
  <si>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</si>
  <si>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</si>
  <si>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</si>
  <si>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</si>
  <si>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</si>
  <si>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</si>
  <si>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</si>
  <si>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</si>
  <si>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</si>
  <si>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</si>
  <si>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</si>
  <si>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</si>
  <si>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</si>
  <si>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</si>
  <si>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</si>
  <si>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</si>
  <si>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</si>
  <si>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</si>
  <si>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</si>
  <si>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</si>
  <si>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</si>
  <si>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</si>
  <si>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</si>
  <si>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</si>
  <si>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</si>
  <si>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</si>
  <si>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</si>
  <si>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</si>
  <si>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</si>
  <si>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</si>
  <si>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</si>
  <si>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</si>
  <si>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</si>
  <si>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</si>
  <si>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</si>
  <si>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</si>
  <si>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</si>
  <si>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</si>
  <si>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</si>
  <si>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</si>
  <si>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</si>
  <si>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</si>
  <si>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</si>
  <si>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</si>
  <si>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</si>
  <si>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</si>
  <si>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</si>
  <si>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</si>
  <si>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</si>
  <si>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</si>
  <si>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</si>
  <si>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</si>
  <si>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</si>
  <si>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</si>
  <si>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</si>
  <si>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</si>
  <si>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</si>
  <si>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</si>
  <si>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</si>
  <si>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</si>
  <si>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</si>
  <si>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</si>
  <si>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</si>
  <si>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</si>
  <si>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</si>
  <si>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</si>
  <si>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</si>
  <si>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</si>
  <si>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</si>
  <si>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</si>
  <si>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</si>
  <si>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</si>
  <si>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</si>
  <si>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</si>
  <si>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</si>
  <si>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</si>
  <si>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</si>
  <si>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</si>
  <si>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</si>
  <si>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</si>
  <si>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</si>
  <si>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</si>
  <si>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</si>
  <si>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</si>
  <si>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</si>
  <si>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</si>
  <si>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</si>
  <si>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</si>
  <si>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</si>
  <si>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</si>
  <si>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</si>
  <si>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</si>
  <si>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</si>
  <si>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</si>
  <si>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</si>
  <si>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</si>
  <si>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</si>
  <si>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</si>
  <si>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</si>
  <si>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</si>
  <si>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</si>
  <si>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</si>
  <si>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</si>
  <si>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</si>
  <si>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</si>
  <si>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</si>
  <si>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</si>
  <si>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</si>
  <si>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</si>
  <si>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</si>
  <si>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</si>
  <si>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</si>
  <si>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</si>
  <si>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</si>
  <si>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</si>
  <si>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</si>
  <si>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</si>
  <si>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</si>
  <si>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</si>
  <si>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</si>
  <si>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</si>
  <si>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</si>
  <si>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</si>
  <si>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</si>
  <si>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</si>
  <si>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</si>
  <si>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</si>
  <si>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</si>
  <si>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</si>
  <si>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</si>
  <si>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</si>
  <si>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</si>
  <si>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</si>
  <si>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</si>
  <si>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</si>
  <si>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</si>
  <si>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</si>
  <si>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</si>
  <si>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</si>
  <si>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</si>
  <si>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</si>
  <si>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</si>
  <si>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</si>
  <si>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</si>
  <si>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</si>
  <si>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</si>
  <si>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</si>
  <si>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</si>
  <si>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</si>
  <si>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</si>
  <si>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</si>
  <si>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</si>
  <si>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</si>
  <si>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</si>
  <si>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</si>
  <si>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</si>
  <si>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</si>
  <si>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</si>
  <si>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</si>
  <si>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</si>
  <si>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</si>
  <si>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</si>
  <si>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</si>
  <si>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</si>
  <si>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</si>
  <si>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</si>
  <si>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</si>
  <si>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</si>
  <si>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</si>
  <si>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</si>
  <si>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</si>
  <si>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</si>
  <si>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</si>
  <si>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</si>
  <si>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</si>
  <si>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</si>
  <si>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</si>
  <si>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</si>
  <si>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</si>
  <si>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</si>
  <si>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</si>
  <si>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</si>
  <si>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</si>
  <si>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</si>
  <si>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</si>
  <si>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</si>
  <si>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</si>
  <si>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</si>
  <si>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</si>
  <si>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</si>
  <si>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</si>
  <si>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</si>
  <si>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</si>
  <si>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</si>
  <si>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</si>
  <si>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</si>
  <si>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</si>
  <si>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</si>
  <si>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</si>
  <si>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</si>
  <si>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</si>
  <si>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</si>
  <si>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</si>
  <si>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</si>
  <si>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</si>
  <si>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</si>
  <si>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</si>
  <si>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</si>
  <si>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</si>
  <si>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</si>
  <si>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</si>
  <si>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</si>
  <si>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</si>
  <si>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</si>
  <si>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</si>
  <si>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</si>
  <si>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</si>
  <si>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</si>
  <si>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</si>
  <si>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</si>
  <si>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</si>
  <si>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</si>
  <si>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</si>
  <si>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</si>
  <si>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</si>
  <si>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</si>
  <si>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</si>
  <si>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</si>
  <si>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</si>
  <si>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</si>
  <si>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</si>
  <si>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</si>
  <si>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</si>
  <si>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</si>
  <si>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</si>
  <si>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</si>
  <si>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</si>
  <si>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</si>
  <si>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</si>
  <si>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</si>
  <si>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</si>
  <si>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</si>
  <si>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</si>
  <si>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</si>
  <si>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</si>
  <si>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</si>
  <si>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</si>
  <si>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</si>
  <si>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</si>
  <si>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</si>
  <si>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</si>
  <si>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</si>
  <si>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</si>
  <si>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</si>
  <si>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</si>
  <si>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</si>
  <si>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</si>
  <si>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</si>
  <si>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</si>
  <si>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</si>
  <si>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</si>
  <si>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</si>
  <si>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</si>
  <si>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</si>
  <si>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</si>
  <si>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</si>
  <si>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</si>
  <si>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</si>
  <si>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</si>
  <si>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</si>
  <si>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</si>
  <si>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</si>
  <si>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</si>
  <si>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</si>
  <si>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</si>
  <si>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</si>
  <si>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</si>
  <si>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</si>
  <si>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</si>
  <si>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</si>
  <si>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</si>
  <si>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</si>
  <si>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</si>
  <si>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</si>
  <si>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</si>
  <si>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</si>
  <si>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</si>
  <si>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</si>
  <si>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</si>
  <si>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</si>
  <si>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</si>
  <si>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</si>
  <si>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</si>
  <si>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</si>
  <si>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</si>
  <si>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</si>
  <si>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</si>
  <si>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</si>
  <si>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</si>
  <si>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</si>
  <si>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</si>
  <si>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</si>
  <si>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</si>
  <si>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</si>
  <si>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</si>
  <si>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</si>
  <si>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</si>
  <si>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</si>
  <si>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</si>
  <si>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</si>
  <si>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</si>
  <si>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</si>
  <si>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</si>
  <si>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</si>
  <si>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</si>
  <si>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</si>
  <si>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</si>
  <si>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</si>
  <si>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</si>
  <si>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</si>
  <si>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</si>
  <si>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</si>
  <si>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</si>
  <si>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</si>
  <si>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</si>
  <si>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</si>
  <si>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</si>
  <si>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</si>
  <si>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</si>
  <si>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</si>
  <si>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</si>
  <si>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</si>
  <si>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</si>
  <si>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</si>
  <si>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</si>
  <si>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</si>
  <si>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</si>
  <si>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</si>
  <si>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</si>
  <si>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</si>
  <si>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</si>
  <si>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</si>
  <si>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</si>
  <si>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</si>
  <si>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</si>
  <si>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</si>
  <si>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</si>
  <si>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</si>
  <si>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</si>
  <si>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</si>
  <si>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</si>
  <si>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</si>
  <si>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</si>
  <si>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</si>
  <si>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</si>
  <si>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</si>
  <si>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</si>
  <si>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</si>
  <si>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</si>
  <si>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</si>
  <si>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</si>
  <si>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</si>
  <si>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</si>
  <si>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</si>
  <si>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</si>
  <si>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</si>
  <si>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</si>
  <si>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</si>
  <si>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</si>
  <si>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</si>
  <si>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</si>
  <si>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</si>
  <si>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</si>
  <si>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</si>
  <si>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</si>
  <si>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</si>
  <si>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</si>
  <si>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</si>
  <si>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</si>
  <si>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</si>
  <si>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</si>
  <si>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</si>
  <si>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</si>
  <si>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</si>
  <si>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</si>
  <si>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</si>
  <si>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</si>
  <si>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</si>
  <si>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</si>
  <si>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</si>
  <si>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</si>
  <si>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</si>
  <si>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</si>
  <si>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</si>
  <si>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</si>
  <si>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</si>
  <si>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</si>
  <si>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</si>
  <si>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</si>
  <si>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</si>
  <si>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</si>
  <si>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</si>
  <si>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</si>
  <si>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</si>
  <si>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</si>
  <si>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</si>
  <si>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</si>
  <si>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</si>
  <si>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</si>
  <si>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</si>
  <si>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</si>
  <si>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</si>
  <si>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</si>
  <si>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</si>
  <si>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</si>
  <si>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</si>
  <si>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</si>
  <si>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</si>
  <si>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</si>
  <si>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</si>
  <si>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</si>
  <si>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</si>
  <si>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</si>
  <si>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</si>
  <si>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</si>
  <si>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</si>
  <si>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</si>
  <si>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</si>
  <si>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</si>
  <si>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</si>
  <si>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</si>
  <si>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</si>
  <si>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</si>
  <si>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</si>
  <si>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</si>
  <si>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</si>
  <si>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</si>
  <si>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</si>
  <si>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</si>
  <si>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</si>
  <si>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</si>
  <si>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</si>
  <si>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</si>
  <si>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</si>
  <si>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</si>
  <si>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</si>
  <si>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</si>
  <si>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</si>
  <si>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</si>
  <si>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</si>
  <si>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</si>
  <si>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</si>
  <si>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</si>
  <si>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</si>
  <si>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</si>
  <si>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</si>
  <si>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</si>
  <si>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</si>
  <si>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</si>
  <si>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</si>
  <si>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</si>
  <si>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</si>
  <si>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</si>
  <si>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</si>
  <si>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</si>
  <si>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</si>
  <si>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</si>
  <si>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</si>
  <si>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</si>
  <si>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</si>
  <si>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</si>
  <si>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</si>
  <si>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</si>
  <si>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</si>
  <si>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</si>
  <si>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</si>
  <si>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</si>
  <si>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</si>
  <si>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</si>
  <si>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</si>
  <si>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</si>
  <si>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</si>
  <si>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</si>
  <si>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</si>
  <si>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</si>
  <si>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</si>
  <si>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</si>
  <si>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</si>
  <si>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</si>
  <si>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</si>
  <si>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</si>
  <si>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</si>
  <si>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</si>
  <si>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</si>
  <si>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</si>
  <si>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</si>
  <si>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</si>
  <si>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</si>
  <si>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</si>
  <si>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</si>
  <si>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</si>
  <si>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</si>
  <si>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</si>
  <si>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</si>
  <si>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</si>
  <si>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</si>
  <si>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</si>
  <si>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</si>
  <si>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</si>
  <si>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</si>
  <si>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</si>
  <si>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</si>
  <si>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</si>
  <si>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</si>
  <si>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</si>
  <si>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</si>
  <si>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</si>
  <si>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</si>
  <si>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</si>
  <si>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</si>
  <si>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</si>
  <si>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</si>
  <si>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</si>
  <si>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</si>
  <si>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</si>
  <si>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</si>
  <si>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</si>
  <si>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</si>
  <si>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</si>
  <si>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</si>
  <si>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</si>
  <si>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</si>
  <si>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</si>
  <si>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</si>
  <si>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</si>
  <si>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</si>
  <si>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</si>
  <si>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</si>
  <si>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</si>
  <si>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</si>
  <si>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</si>
  <si>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</si>
  <si>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</si>
  <si>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</si>
  <si>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</si>
  <si>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</si>
  <si>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</si>
  <si>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</si>
  <si>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</si>
  <si>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</si>
  <si>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</si>
  <si>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</si>
  <si>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</si>
  <si>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</si>
  <si>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</si>
  <si>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</si>
  <si>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</si>
  <si>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</si>
  <si>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</si>
  <si>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</si>
  <si>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</si>
  <si>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</si>
  <si>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</si>
  <si>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</si>
  <si>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</si>
  <si>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</si>
  <si>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</si>
  <si>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</si>
  <si>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</si>
  <si>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</si>
  <si>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</si>
  <si>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</si>
  <si>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</si>
  <si>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</si>
  <si>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</si>
  <si>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</si>
  <si>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</si>
  <si>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</si>
  <si>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</si>
  <si>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</si>
  <si>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</si>
  <si>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</si>
  <si>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</si>
  <si>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</si>
  <si>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</si>
  <si>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</si>
  <si>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</si>
  <si>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</si>
  <si>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</si>
  <si>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</si>
  <si>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</si>
  <si>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</si>
  <si>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</si>
  <si>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</si>
  <si>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</si>
  <si>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</si>
  <si>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</si>
  <si>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</si>
  <si>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</si>
  <si>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</si>
  <si>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</si>
  <si>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</si>
  <si>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</si>
  <si>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</si>
  <si>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</si>
  <si>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</si>
  <si>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</si>
  <si>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</si>
  <si>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</si>
  <si>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</si>
  <si>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</si>
  <si>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</si>
  <si>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</si>
  <si>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</si>
  <si>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</si>
  <si>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</si>
  <si>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</si>
  <si>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</si>
  <si>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</si>
  <si>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</si>
  <si>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</si>
  <si>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</si>
  <si>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</si>
  <si>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</si>
  <si>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</si>
  <si>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</si>
  <si>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</si>
  <si>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</si>
  <si>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</si>
  <si>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</si>
  <si>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</si>
  <si>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</si>
  <si>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</si>
  <si>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</si>
  <si>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</si>
  <si>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</si>
  <si>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</si>
  <si>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</si>
  <si>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</si>
  <si>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</si>
  <si>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</si>
  <si>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</si>
  <si>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</si>
  <si>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</si>
  <si>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</si>
  <si>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</si>
  <si>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</si>
  <si>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</si>
  <si>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</si>
  <si>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</si>
  <si>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</si>
  <si>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</si>
  <si>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</si>
  <si>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</si>
  <si>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</si>
  <si>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</si>
  <si>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</si>
  <si>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</si>
  <si>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</si>
  <si>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</si>
  <si>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</si>
  <si>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</si>
  <si>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</si>
  <si>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</si>
  <si>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</si>
  <si>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</si>
  <si>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</si>
  <si>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</si>
  <si>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</si>
  <si>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</si>
  <si>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</si>
  <si>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</si>
  <si>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</si>
  <si>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</si>
  <si>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</si>
  <si>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</si>
  <si>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</si>
  <si>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</si>
  <si>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</si>
  <si>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</si>
  <si>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</si>
  <si>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</si>
  <si>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</si>
  <si>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</si>
  <si>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</si>
  <si>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</si>
  <si>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</si>
  <si>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</si>
  <si>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</si>
  <si>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</si>
  <si>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</si>
  <si>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</si>
  <si>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</si>
  <si>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</si>
  <si>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</si>
  <si>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</si>
  <si>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</si>
  <si>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</si>
  <si>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</si>
  <si>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</si>
  <si>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</si>
  <si>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</si>
  <si>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</si>
  <si>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</si>
  <si>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</si>
  <si>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</si>
  <si>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</si>
  <si>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</si>
  <si>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</si>
  <si>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</si>
  <si>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</si>
  <si>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</si>
  <si>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</si>
  <si>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</si>
  <si>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</si>
  <si>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</si>
  <si>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</si>
  <si>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</si>
  <si>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</si>
  <si>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</si>
  <si>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</si>
  <si>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</si>
  <si>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</si>
  <si>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</si>
  <si>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</si>
  <si>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</si>
  <si>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</si>
  <si>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</si>
  <si>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</si>
  <si>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</si>
  <si>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</si>
  <si>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</si>
  <si>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</si>
  <si>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</si>
  <si>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</si>
  <si>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</si>
  <si>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</si>
  <si>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</si>
  <si>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</si>
  <si>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</si>
  <si>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</si>
  <si>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</si>
  <si>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</si>
  <si>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</si>
  <si>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</si>
  <si>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</si>
  <si>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</si>
  <si>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</si>
  <si>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</si>
  <si>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</si>
  <si>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</si>
  <si>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</si>
  <si>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</si>
  <si>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</si>
  <si>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</si>
  <si>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</si>
  <si>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</si>
  <si>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</si>
  <si>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</si>
  <si>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</si>
  <si>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</si>
  <si>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</si>
  <si>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</si>
  <si>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</si>
  <si>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</si>
  <si>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</si>
  <si>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</si>
  <si>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</si>
  <si>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</si>
  <si>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</si>
  <si>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</si>
  <si>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</si>
  <si>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</si>
  <si>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</si>
  <si>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</si>
  <si>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</si>
  <si>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</si>
  <si>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</si>
  <si>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</si>
  <si>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</si>
  <si>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</si>
  <si>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</si>
  <si>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</si>
  <si>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</si>
  <si>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</si>
  <si>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</si>
  <si>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</si>
  <si>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</si>
  <si>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</si>
  <si>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</si>
  <si>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</si>
  <si>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</si>
  <si>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</si>
  <si>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</si>
  <si>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</si>
  <si>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</si>
  <si>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</si>
  <si>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</si>
  <si>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</si>
  <si>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</si>
  <si>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</si>
  <si>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</si>
  <si>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</si>
  <si>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</si>
  <si>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</si>
  <si>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</si>
  <si>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</si>
  <si>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</si>
  <si>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</si>
  <si>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</si>
  <si>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</si>
  <si>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</si>
  <si>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</si>
  <si>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</si>
  <si>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</si>
  <si>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</si>
  <si>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</si>
  <si>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</si>
  <si>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</si>
  <si>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</si>
  <si>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</si>
  <si>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</si>
  <si>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</si>
  <si>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</si>
  <si>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</si>
  <si>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</si>
  <si>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</si>
  <si>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</si>
  <si>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</si>
  <si>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</si>
  <si>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</si>
  <si>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</si>
  <si>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</si>
  <si>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</si>
  <si>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</si>
  <si>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</si>
  <si>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</si>
  <si>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</si>
  <si>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</si>
  <si>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</si>
  <si>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</si>
  <si>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</si>
  <si>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</si>
  <si>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</si>
  <si>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</si>
  <si>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</si>
  <si>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</si>
  <si>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</si>
  <si>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</si>
  <si>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</si>
  <si>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</si>
  <si>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</si>
  <si>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</si>
  <si>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</si>
  <si>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</si>
  <si>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</si>
  <si>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</si>
  <si>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</si>
  <si>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</si>
  <si>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</si>
  <si>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</si>
  <si>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</si>
  <si>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</si>
  <si>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</si>
  <si>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</si>
  <si>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</si>
  <si>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</si>
  <si>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</si>
  <si>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</si>
  <si>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</si>
  <si>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</si>
  <si>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</si>
  <si>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</si>
  <si>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</si>
  <si>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</si>
  <si>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</si>
  <si>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</si>
  <si>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</si>
  <si>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</si>
  <si>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</si>
  <si>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</si>
  <si>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</si>
  <si>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</si>
  <si>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</si>
  <si>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</si>
  <si>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</si>
  <si>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</si>
  <si>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</si>
  <si>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</si>
  <si>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</si>
  <si>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</si>
  <si>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</si>
  <si>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</si>
  <si>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</si>
  <si>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</si>
  <si>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</si>
  <si>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</si>
  <si>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</si>
  <si>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</si>
  <si>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</si>
  <si>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</si>
  <si>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</si>
  <si>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</si>
  <si>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</si>
  <si>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</si>
  <si>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</si>
  <si>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</si>
  <si>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</si>
  <si>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</si>
  <si>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</si>
  <si>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</si>
  <si>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</si>
  <si>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</si>
  <si>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</si>
  <si>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</si>
  <si>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</si>
  <si>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</si>
  <si>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</si>
  <si>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</si>
  <si>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</si>
  <si>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</si>
  <si>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</si>
  <si>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</si>
  <si>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</si>
  <si>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</si>
  <si>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</si>
  <si>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</si>
  <si>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</si>
  <si>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</si>
  <si>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</si>
  <si>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</si>
  <si>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</si>
  <si>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</si>
  <si>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</si>
  <si>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</si>
  <si>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</si>
  <si>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</si>
  <si>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</si>
  <si>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</si>
  <si>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</si>
  <si>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</si>
  <si>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</si>
  <si>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</si>
  <si>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</si>
  <si>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</si>
  <si>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</si>
  <si>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</si>
  <si>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</si>
  <si>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</si>
  <si>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</si>
  <si>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</si>
  <si>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</si>
  <si>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</si>
  <si>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</si>
  <si>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</si>
  <si>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</si>
  <si>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</si>
  <si>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</si>
  <si>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</si>
  <si>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</si>
  <si>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</si>
  <si>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</si>
  <si>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</si>
  <si>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</si>
  <si>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</si>
  <si>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</si>
  <si>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</si>
  <si>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</si>
  <si>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</si>
  <si>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</si>
  <si>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</si>
  <si>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</si>
  <si>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</si>
  <si>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</si>
  <si>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</si>
  <si>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</si>
  <si>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</si>
  <si>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</si>
  <si>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</si>
  <si>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</si>
  <si>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</si>
  <si>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</si>
  <si>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</si>
  <si>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</si>
  <si>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</si>
  <si>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</si>
  <si>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</si>
  <si>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</si>
  <si>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</si>
  <si>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</si>
  <si>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</si>
  <si>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</si>
  <si>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</si>
  <si>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</si>
  <si>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</si>
  <si>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</si>
  <si>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</si>
  <si>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</si>
  <si>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</si>
  <si>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</si>
  <si>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</si>
  <si>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</si>
  <si>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</si>
  <si>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</si>
  <si>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</si>
  <si>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</si>
  <si>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</si>
  <si>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</si>
  <si>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</si>
  <si>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</si>
  <si>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</si>
  <si>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</si>
  <si>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</si>
  <si>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</si>
  <si>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</si>
  <si>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</si>
  <si>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</si>
  <si>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</si>
  <si>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</si>
  <si>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</si>
  <si>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</si>
  <si>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</si>
  <si>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</si>
  <si>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</si>
  <si>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</si>
  <si>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</si>
  <si>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</si>
  <si>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</si>
  <si>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</si>
  <si>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</si>
  <si>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</si>
  <si>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</si>
  <si>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</si>
  <si>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</si>
  <si>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</si>
  <si>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</si>
  <si>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</si>
  <si>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</si>
  <si>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</si>
  <si>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</si>
  <si>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</si>
  <si>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</si>
  <si>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</si>
  <si>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</si>
  <si>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</si>
  <si>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</si>
  <si>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</si>
  <si>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</si>
  <si>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</si>
  <si>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</si>
  <si>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</si>
  <si>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</si>
  <si>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</si>
  <si>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</si>
  <si>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</si>
  <si>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</si>
  <si>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</si>
  <si>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</si>
  <si>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</si>
  <si>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</si>
  <si>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</si>
  <si>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</si>
  <si>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</si>
  <si>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</si>
  <si>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</si>
  <si>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</si>
  <si>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</si>
  <si>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</si>
  <si>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</si>
  <si>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</si>
  <si>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</si>
  <si>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</si>
  <si>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</si>
  <si>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</si>
  <si>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</si>
  <si>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</si>
  <si>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</si>
  <si>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</si>
  <si>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</si>
  <si>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</si>
  <si>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</si>
  <si>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</si>
  <si>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</si>
  <si>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</si>
  <si>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</si>
  <si>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</si>
  <si>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</si>
  <si>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</si>
  <si>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</si>
  <si>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</si>
  <si>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</si>
  <si>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</si>
  <si>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</si>
  <si>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</si>
  <si>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</si>
  <si>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</si>
  <si>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</si>
  <si>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</si>
  <si>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</si>
  <si>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</si>
  <si>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</si>
  <si>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</si>
  <si>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</si>
  <si>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</si>
  <si>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</si>
  <si>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</si>
  <si>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</si>
  <si>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</si>
  <si>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</si>
  <si>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</si>
  <si>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</si>
  <si>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</si>
  <si>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</si>
  <si>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</si>
  <si>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</si>
  <si>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</si>
  <si>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</si>
  <si>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</si>
  <si>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</si>
  <si>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</si>
  <si>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</si>
  <si>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</si>
  <si>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</si>
  <si>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</si>
  <si>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</si>
  <si>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</si>
  <si>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</si>
  <si>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</si>
  <si>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</si>
  <si>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</si>
  <si>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</si>
  <si>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</si>
  <si>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</si>
  <si>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</si>
  <si>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</si>
  <si>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</si>
  <si>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</si>
  <si>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</si>
  <si>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</si>
  <si>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</si>
  <si>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</si>
  <si>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</si>
  <si>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</si>
  <si>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</si>
  <si>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</si>
  <si>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</si>
  <si>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</si>
  <si>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</si>
  <si>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</si>
  <si>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</si>
  <si>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</si>
  <si>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</si>
  <si>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</si>
  <si>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</si>
  <si>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</si>
  <si>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</si>
  <si>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</si>
  <si>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</si>
  <si>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</si>
  <si>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</si>
  <si>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</si>
  <si>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</si>
  <si>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</si>
  <si>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</si>
  <si>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</si>
  <si>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</si>
  <si>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</si>
  <si>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</si>
  <si>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</si>
  <si>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</si>
  <si>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</si>
  <si>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</si>
  <si>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</si>
  <si>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</si>
  <si>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</si>
  <si>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</si>
  <si>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</si>
  <si>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</si>
  <si>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</si>
  <si>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</si>
  <si>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</si>
  <si>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</si>
  <si>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</si>
  <si>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</si>
  <si>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</si>
  <si>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</si>
  <si>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</si>
  <si>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</si>
  <si>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</si>
  <si>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</si>
  <si>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</si>
  <si>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</si>
  <si>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</si>
  <si>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</si>
  <si>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</si>
  <si>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</si>
  <si>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</si>
  <si>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</si>
  <si>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</si>
  <si>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</si>
  <si>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</si>
  <si>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</si>
  <si>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</si>
  <si>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</si>
  <si>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</si>
  <si>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</si>
  <si>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</si>
  <si>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</si>
  <si>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</si>
  <si>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</si>
  <si>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</si>
  <si>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</si>
  <si>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</si>
  <si>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</si>
  <si>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</si>
  <si>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</si>
  <si>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</si>
  <si>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</si>
  <si>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</si>
  <si>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</si>
  <si>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</si>
  <si>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</si>
  <si>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</si>
  <si>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</si>
  <si>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</si>
  <si>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</si>
  <si>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</si>
  <si>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</si>
  <si>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</si>
  <si>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</si>
  <si>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</si>
  <si>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</si>
  <si>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</si>
  <si>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</si>
  <si>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</si>
  <si>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</si>
  <si>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</si>
  <si>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</si>
  <si>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</si>
  <si>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</si>
  <si>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</si>
  <si>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</si>
  <si>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</si>
  <si>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</si>
  <si>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</si>
  <si>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</si>
  <si>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</si>
  <si>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</si>
  <si>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</si>
  <si>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</si>
  <si>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</si>
  <si>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</si>
  <si>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</si>
  <si>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</si>
  <si>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</si>
  <si>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</si>
  <si>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</si>
  <si>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</si>
  <si>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</si>
  <si>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</si>
  <si>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</si>
  <si>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</si>
  <si>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</si>
  <si>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</si>
  <si>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</si>
  <si>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</si>
  <si>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</si>
  <si>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</si>
  <si>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</si>
  <si>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</si>
  <si>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</si>
  <si>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</si>
  <si>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</si>
  <si>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</si>
  <si>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</si>
  <si>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</si>
  <si>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</si>
  <si>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</si>
  <si>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</si>
  <si>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</si>
  <si>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</si>
  <si>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</si>
  <si>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</si>
  <si>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</si>
  <si>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</si>
  <si>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</si>
  <si>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</si>
  <si>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</si>
  <si>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</si>
  <si>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</si>
  <si>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</si>
  <si>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</si>
  <si>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</si>
  <si>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</si>
  <si>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</si>
  <si>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</si>
  <si>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</si>
  <si>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</si>
  <si>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</si>
  <si>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</si>
  <si>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</si>
  <si>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</si>
  <si>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</si>
  <si>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</si>
  <si>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</si>
  <si>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</si>
  <si>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</si>
  <si>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</si>
  <si>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</si>
  <si>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</si>
  <si>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</si>
  <si>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</si>
  <si>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</si>
  <si>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</si>
  <si>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</si>
  <si>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</si>
  <si>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</si>
  <si>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</si>
  <si>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</si>
  <si>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</si>
  <si>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</si>
  <si>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</si>
  <si>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</si>
  <si>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</si>
  <si>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</si>
  <si>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</si>
  <si>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</si>
  <si>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</si>
  <si>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</si>
  <si>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</si>
  <si>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</si>
  <si>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</si>
  <si>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</si>
  <si>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</si>
  <si>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</si>
  <si>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</si>
  <si>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</si>
  <si>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</si>
  <si>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</si>
  <si>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</si>
  <si>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</si>
  <si>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</si>
  <si>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</si>
  <si>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</si>
  <si>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</si>
  <si>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</si>
  <si>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</si>
  <si>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</si>
  <si>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</si>
  <si>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</si>
  <si>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</si>
  <si>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</si>
  <si>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</si>
  <si>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</si>
  <si>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</si>
  <si>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</si>
  <si>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</si>
  <si>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</si>
  <si>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</si>
  <si>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</si>
  <si>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</si>
  <si>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</si>
  <si>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</si>
  <si>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</si>
  <si>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</si>
  <si>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</si>
  <si>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</si>
  <si>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</si>
  <si>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</si>
  <si>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</si>
  <si>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</si>
  <si>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</si>
  <si>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</si>
  <si>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</si>
  <si>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</si>
  <si>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</si>
  <si>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</si>
  <si>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</si>
  <si>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</si>
  <si>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</si>
  <si>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</si>
  <si>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</si>
  <si>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</si>
  <si>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</si>
  <si>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</si>
  <si>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</si>
  <si>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</si>
  <si>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</si>
  <si>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</si>
  <si>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</si>
  <si>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</si>
  <si>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</si>
  <si>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</si>
  <si>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</si>
  <si>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</si>
  <si>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</si>
  <si>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</si>
  <si>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</si>
  <si>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</si>
  <si>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</si>
  <si>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</si>
  <si>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</si>
  <si>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</si>
  <si>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</si>
  <si>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</si>
  <si>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</si>
  <si>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</si>
  <si>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</si>
  <si>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</si>
  <si>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</si>
  <si>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</si>
  <si>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</si>
  <si>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</si>
  <si>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</si>
  <si>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</si>
  <si>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</si>
  <si>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</si>
  <si>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</si>
  <si>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</si>
  <si>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</si>
  <si>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</si>
  <si>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</si>
  <si>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</si>
  <si>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</si>
  <si>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</si>
  <si>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</si>
  <si>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</si>
  <si>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</si>
  <si>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</si>
  <si>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</si>
  <si>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</si>
  <si>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</si>
  <si>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</si>
  <si>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</si>
  <si>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</si>
  <si>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</si>
  <si>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</si>
  <si>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</si>
  <si>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</si>
  <si>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</si>
  <si>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</si>
  <si>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</si>
  <si>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</si>
  <si>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</si>
  <si>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</si>
  <si>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</si>
  <si>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</si>
  <si>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</si>
  <si>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</si>
  <si>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</si>
  <si>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</si>
  <si>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</si>
  <si>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</si>
  <si>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</si>
  <si>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</si>
  <si>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</si>
  <si>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</si>
  <si>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</si>
  <si>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</si>
  <si>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</si>
  <si>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</si>
  <si>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</si>
  <si>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</si>
  <si>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</si>
  <si>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</si>
  <si>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</si>
  <si>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</si>
  <si>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</si>
  <si>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</si>
  <si>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</si>
  <si>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</si>
  <si>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</si>
  <si>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</si>
  <si>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</si>
  <si>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</si>
  <si>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</si>
  <si>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</si>
  <si>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</si>
  <si>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</si>
  <si>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</si>
  <si>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</si>
  <si>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</si>
  <si>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</si>
  <si>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</si>
  <si>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</si>
  <si>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</si>
  <si>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</si>
  <si>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</si>
  <si>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</si>
  <si>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</si>
  <si>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</si>
  <si>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</si>
  <si>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</si>
  <si>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</si>
  <si>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</si>
  <si>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</si>
  <si>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</si>
  <si>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</si>
  <si>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</si>
  <si>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</si>
  <si>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</si>
  <si>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</si>
  <si>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</si>
  <si>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</si>
  <si>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</si>
  <si>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</si>
  <si>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</si>
  <si>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</si>
  <si>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</si>
  <si>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</si>
  <si>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</si>
  <si>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</si>
  <si>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</si>
  <si>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</si>
  <si>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</si>
  <si>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</si>
  <si>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</si>
  <si>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</si>
  <si>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</si>
  <si>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</si>
  <si>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</si>
  <si>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</si>
  <si>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</si>
  <si>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</si>
  <si>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</si>
  <si>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</si>
  <si>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</si>
  <si>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</si>
  <si>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</si>
  <si>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</si>
  <si>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</si>
  <si>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</si>
  <si>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</si>
  <si>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</si>
  <si>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</si>
  <si>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</si>
  <si>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</si>
  <si>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</si>
  <si>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</si>
  <si>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</si>
  <si>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</si>
  <si>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</si>
  <si>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</si>
  <si>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</si>
  <si>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</si>
  <si>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</si>
  <si>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</si>
  <si>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</si>
  <si>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</si>
  <si>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</si>
  <si>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</si>
  <si>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</si>
  <si>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</si>
  <si>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</si>
  <si>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</si>
  <si>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</si>
  <si>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</si>
  <si>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</si>
  <si>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</si>
  <si>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</si>
  <si>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</si>
  <si>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</si>
  <si>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</si>
  <si>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</si>
  <si>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</si>
  <si>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</si>
  <si>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</si>
  <si>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</si>
  <si>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</si>
  <si>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</si>
  <si>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</si>
  <si>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</si>
  <si>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</si>
  <si>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</si>
  <si>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</si>
  <si>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</si>
  <si>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</si>
  <si>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</si>
  <si>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</si>
  <si>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</si>
  <si>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</si>
  <si>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</si>
  <si>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</si>
  <si>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</si>
  <si>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</si>
  <si>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</si>
  <si>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</si>
  <si>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</si>
  <si>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</si>
  <si>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</si>
  <si>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</si>
  <si>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</si>
  <si>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</si>
  <si>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</si>
  <si>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</si>
  <si>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</si>
  <si>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</si>
  <si>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</si>
  <si>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</si>
  <si>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</si>
  <si>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</si>
  <si>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</si>
  <si>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</si>
  <si>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</si>
  <si>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</si>
  <si>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</si>
  <si>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</si>
  <si>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</si>
  <si>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</si>
  <si>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</si>
  <si>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</si>
  <si>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</si>
  <si>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</si>
  <si>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</si>
  <si>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</si>
  <si>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</si>
  <si>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</si>
  <si>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</si>
  <si>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</si>
  <si>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</si>
  <si>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</si>
  <si>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</si>
  <si>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</si>
  <si>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</si>
  <si>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</si>
  <si>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</si>
  <si>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</si>
  <si>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</si>
  <si>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</si>
  <si>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</si>
  <si>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</si>
  <si>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</si>
  <si>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</si>
  <si>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</si>
  <si>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</si>
  <si>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</si>
  <si>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</si>
  <si>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</si>
  <si>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</si>
  <si>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</si>
  <si>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</si>
  <si>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</si>
  <si>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</si>
  <si>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</si>
  <si>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</si>
  <si>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</si>
  <si>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</si>
  <si>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</si>
  <si>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</si>
  <si>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</si>
  <si>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</si>
  <si>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</si>
  <si>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</si>
  <si>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</si>
  <si>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</si>
  <si>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</si>
  <si>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</si>
  <si>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</si>
  <si>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</si>
  <si>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</si>
  <si>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</si>
  <si>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</si>
  <si>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</si>
  <si>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</si>
  <si>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</si>
  <si>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</si>
  <si>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</si>
  <si>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</si>
  <si>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</si>
  <si>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</si>
  <si>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</si>
  <si>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</si>
  <si>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</si>
  <si>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</si>
  <si>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</si>
  <si>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</si>
  <si>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</si>
  <si>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</si>
  <si>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</si>
  <si>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</si>
  <si>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</si>
  <si>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</si>
  <si>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</si>
  <si>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</si>
  <si>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</si>
  <si>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</si>
  <si>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</si>
  <si>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</si>
  <si>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</si>
  <si>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</si>
  <si>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</si>
  <si>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</si>
  <si>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</si>
  <si>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</si>
  <si>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</si>
  <si>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</si>
  <si>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</si>
  <si>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</si>
  <si>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</si>
  <si>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</si>
  <si>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</si>
  <si>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</si>
  <si>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</si>
  <si>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</si>
  <si>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</si>
  <si>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</si>
  <si>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</si>
  <si>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</si>
  <si>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</si>
  <si>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</si>
  <si>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</si>
  <si>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</si>
  <si>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</si>
  <si>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</si>
  <si>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</si>
  <si>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</si>
  <si>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</si>
  <si>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</si>
  <si>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</si>
  <si>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</si>
  <si>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</si>
  <si>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</si>
  <si>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</si>
  <si>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</si>
  <si>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</si>
  <si>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</si>
  <si>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</si>
  <si>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</si>
  <si>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</si>
  <si>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</si>
  <si>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</si>
  <si>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</si>
  <si>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</si>
  <si>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</si>
  <si>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</si>
  <si>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</si>
  <si>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</si>
  <si>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</si>
  <si>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</si>
  <si>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</si>
  <si>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</si>
  <si>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</si>
  <si>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</si>
  <si>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</si>
  <si>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</si>
  <si>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</si>
  <si>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</si>
  <si>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</si>
  <si>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</si>
  <si>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</si>
  <si>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</si>
  <si>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</si>
  <si>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</si>
  <si>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</si>
  <si>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</si>
  <si>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</si>
  <si>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</si>
  <si>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</si>
  <si>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</si>
  <si>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</si>
  <si>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</si>
  <si>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</si>
  <si>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</si>
  <si>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</si>
  <si>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</si>
  <si>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</si>
  <si>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</si>
  <si>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</si>
  <si>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</si>
  <si>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</si>
  <si>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</si>
  <si>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</si>
  <si>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</si>
  <si>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</si>
  <si>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</si>
  <si>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</si>
  <si>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</si>
  <si>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</si>
  <si>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</si>
  <si>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</si>
  <si>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</si>
  <si>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</si>
  <si>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</si>
  <si>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</si>
  <si>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</si>
  <si>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</si>
  <si>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</si>
  <si>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</si>
  <si>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</si>
  <si>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</si>
  <si>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</si>
  <si>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</si>
  <si>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</si>
  <si>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</si>
  <si>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</si>
  <si>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</si>
  <si>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</si>
  <si>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</si>
  <si>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</si>
  <si>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</si>
  <si>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</si>
  <si>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</si>
  <si>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</si>
  <si>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</si>
  <si>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</si>
  <si>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</si>
  <si>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</si>
  <si>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</si>
  <si>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</si>
  <si>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</si>
  <si>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</si>
  <si>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</si>
  <si>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</si>
  <si>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</si>
  <si>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</si>
  <si>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</si>
  <si>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</si>
  <si>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</si>
  <si>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</si>
  <si>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</si>
  <si>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</si>
  <si>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</si>
  <si>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</si>
  <si>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</si>
  <si>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</si>
  <si>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</si>
  <si>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</si>
  <si>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</si>
  <si>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</si>
  <si>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</si>
  <si>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</si>
  <si>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</si>
  <si>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</si>
  <si>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</si>
  <si>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</si>
  <si>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</si>
  <si>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</si>
  <si>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</si>
  <si>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</si>
  <si>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</si>
  <si>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</si>
  <si>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</si>
  <si>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</si>
  <si>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</si>
  <si>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</si>
  <si>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</si>
  <si>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</si>
  <si>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</si>
  <si>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</si>
  <si>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</si>
  <si>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</si>
  <si>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</si>
  <si>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</si>
  <si>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</si>
  <si>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</si>
  <si>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</si>
  <si>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</si>
  <si>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</si>
  <si>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</si>
  <si>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</si>
  <si>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</si>
  <si>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</si>
  <si>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</si>
  <si>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</si>
  <si>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</si>
  <si>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</si>
  <si>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</si>
  <si>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</si>
  <si>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</si>
  <si>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</si>
  <si>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</si>
  <si>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</si>
  <si>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</si>
  <si>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</si>
  <si>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</si>
  <si>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</si>
  <si>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</si>
  <si>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</si>
  <si>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</si>
  <si>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</si>
  <si>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</si>
  <si>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</si>
  <si>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</si>
  <si>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</si>
  <si>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</si>
  <si>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</si>
  <si>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</si>
  <si>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</si>
  <si>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</si>
  <si>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</si>
  <si>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</si>
  <si>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</si>
  <si>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</si>
  <si>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</si>
  <si>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</si>
  <si>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</si>
  <si>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</si>
  <si>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</si>
  <si>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</si>
  <si>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</si>
  <si>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</si>
  <si>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</si>
  <si>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</si>
  <si>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</si>
  <si>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</si>
  <si>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</si>
  <si>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</si>
  <si>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</si>
  <si>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</si>
  <si>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</si>
  <si>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</si>
  <si>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</si>
  <si>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</si>
  <si>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</si>
  <si>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</si>
  <si>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</si>
  <si>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</si>
  <si>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</si>
  <si>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</si>
  <si>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</si>
  <si>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</si>
  <si>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</si>
  <si>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</si>
  <si>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</si>
  <si>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</si>
  <si>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</si>
  <si>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</si>
  <si>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</si>
  <si>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</si>
  <si>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</si>
  <si>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</si>
  <si>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</si>
  <si>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</si>
  <si>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</si>
  <si>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</si>
  <si>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</si>
  <si>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</si>
  <si>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</si>
  <si>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</si>
  <si>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</si>
  <si>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</si>
  <si>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</si>
  <si>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</si>
  <si>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</si>
  <si>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</si>
  <si>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</si>
  <si>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</si>
  <si>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</si>
  <si>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</si>
  <si>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</si>
  <si>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</si>
  <si>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</si>
  <si>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</si>
  <si>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</si>
  <si>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</si>
  <si>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</si>
  <si>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</si>
  <si>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</si>
  <si>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</si>
  <si>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</si>
  <si>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</si>
  <si>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</si>
  <si>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</si>
  <si>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</si>
  <si>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</si>
  <si>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</si>
  <si>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</si>
  <si>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</si>
  <si>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</si>
  <si>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</si>
  <si>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</si>
  <si>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</si>
  <si>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</si>
  <si>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</si>
  <si>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</si>
  <si>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</si>
  <si>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</si>
  <si>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</si>
  <si>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</si>
  <si>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</si>
  <si>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</si>
  <si>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</si>
  <si>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</si>
  <si>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</si>
  <si>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</si>
  <si>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</si>
  <si>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</si>
  <si>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</si>
  <si>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</si>
  <si>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</si>
  <si>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</si>
  <si>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</si>
  <si>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</si>
  <si>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</si>
  <si>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</si>
  <si>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</si>
  <si>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</si>
  <si>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</si>
  <si>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</si>
  <si>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</si>
  <si>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</si>
  <si>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</si>
  <si>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</si>
  <si>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</si>
  <si>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</si>
  <si>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</si>
  <si>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</si>
  <si>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</si>
  <si>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</si>
  <si>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</si>
  <si>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</si>
  <si>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</si>
  <si>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</si>
  <si>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</si>
  <si>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</si>
  <si>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</si>
  <si>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</si>
  <si>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</si>
  <si>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</si>
  <si>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</si>
  <si>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</si>
  <si>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</si>
  <si>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</si>
  <si>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</si>
  <si>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</si>
  <si>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</si>
  <si>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</si>
  <si>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</si>
  <si>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</si>
  <si>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</si>
  <si>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</si>
  <si>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</si>
  <si>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</si>
  <si>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</si>
  <si>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</si>
  <si>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</si>
  <si>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</si>
  <si>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</si>
  <si>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</si>
  <si>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</si>
  <si>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</si>
  <si>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</si>
  <si>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</si>
  <si>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</si>
  <si>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</si>
  <si>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</si>
  <si>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</si>
  <si>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</si>
  <si>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</si>
  <si>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</si>
  <si>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</si>
  <si>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</si>
  <si>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</si>
  <si>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</si>
  <si>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</si>
  <si>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</si>
  <si>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</si>
  <si>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</si>
  <si>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</si>
  <si>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</si>
  <si>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</si>
  <si>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</si>
  <si>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</si>
  <si>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</si>
  <si>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</si>
  <si>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</si>
  <si>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</si>
  <si>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</si>
  <si>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</si>
  <si>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</si>
  <si>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</si>
  <si>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</si>
  <si>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</si>
  <si>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</si>
  <si>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</si>
  <si>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</si>
  <si>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</si>
  <si>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</si>
  <si>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</si>
  <si>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</si>
  <si>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</si>
  <si>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</si>
  <si>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</si>
  <si>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</si>
  <si>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</si>
  <si>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</si>
  <si>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</si>
  <si>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</si>
  <si>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</si>
  <si>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</si>
  <si>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</si>
  <si>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</si>
  <si>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</si>
  <si>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</si>
  <si>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</si>
  <si>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</si>
  <si>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</si>
  <si>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</si>
  <si>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</si>
  <si>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</si>
  <si>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</si>
  <si>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</si>
  <si>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</si>
  <si>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</si>
  <si>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</si>
  <si>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</si>
  <si>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</si>
  <si>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</si>
  <si>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</si>
  <si>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</si>
  <si>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</si>
  <si>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</si>
  <si>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</si>
  <si>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</si>
  <si>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</si>
  <si>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</si>
  <si>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</si>
  <si>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</si>
  <si>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</si>
  <si>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</si>
  <si>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</si>
  <si>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</si>
  <si>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</si>
  <si>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</si>
  <si>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</si>
  <si>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</si>
  <si>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</si>
  <si>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</si>
  <si>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</si>
  <si>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</si>
  <si>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</si>
  <si>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</si>
  <si>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</si>
  <si>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</si>
  <si>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</si>
  <si>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</si>
  <si>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</si>
  <si>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</si>
  <si>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</si>
  <si>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</si>
  <si>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</si>
  <si>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</si>
  <si>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</si>
  <si>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</si>
  <si>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</si>
  <si>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</si>
  <si>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</si>
  <si>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</si>
  <si>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</si>
  <si>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</si>
  <si>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</si>
  <si>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</si>
  <si>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</si>
  <si>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</si>
  <si>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</si>
  <si>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</si>
  <si>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</si>
  <si>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</si>
  <si>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</si>
  <si>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</si>
  <si>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</si>
  <si>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</si>
  <si>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</si>
  <si>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</si>
  <si>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</si>
  <si>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</si>
  <si>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</si>
  <si>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</si>
  <si>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</si>
  <si>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</si>
  <si>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</si>
  <si>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</si>
  <si>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</si>
  <si>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</si>
  <si>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</si>
  <si>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</si>
  <si>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</si>
  <si>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</si>
  <si>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</si>
  <si>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</si>
  <si>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</si>
  <si>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</si>
  <si>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</si>
  <si>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</si>
  <si>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</si>
  <si>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</si>
  <si>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</si>
  <si>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</si>
  <si>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</si>
  <si>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</si>
  <si>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</si>
  <si>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</si>
  <si>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</si>
  <si>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</si>
  <si>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</si>
  <si>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</si>
  <si>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</si>
  <si>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</si>
  <si>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</si>
  <si>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</si>
  <si>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</si>
  <si>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</si>
  <si>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</si>
  <si>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</si>
  <si>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</si>
  <si>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</si>
  <si>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</si>
  <si>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</si>
  <si>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</si>
  <si>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</si>
  <si>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</si>
  <si>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</si>
  <si>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</si>
  <si>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</si>
  <si>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</si>
  <si>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</si>
  <si>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</si>
  <si>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</si>
  <si>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</si>
  <si>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</si>
  <si>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</si>
  <si>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</si>
  <si>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</si>
  <si>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</si>
  <si>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</si>
  <si>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</si>
  <si>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</si>
  <si>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</si>
  <si>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</si>
  <si>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</si>
  <si>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</si>
  <si>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</si>
  <si>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</si>
  <si>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</si>
  <si>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</si>
  <si>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</si>
  <si>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</si>
  <si>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</si>
  <si>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</si>
  <si>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</si>
  <si>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</si>
  <si>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</si>
  <si>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</si>
  <si>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</si>
  <si>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</si>
  <si>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</si>
  <si>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</si>
  <si>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</si>
  <si>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</si>
  <si>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</si>
  <si>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</si>
  <si>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</si>
  <si>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</si>
  <si>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</si>
  <si>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</si>
  <si>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</si>
  <si>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</si>
  <si>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</si>
  <si>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</si>
  <si>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</si>
  <si>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</si>
  <si>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</si>
  <si>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</si>
  <si>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</si>
  <si>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</si>
  <si>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</si>
  <si>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</si>
  <si>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</si>
  <si>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</si>
  <si>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</si>
  <si>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</si>
  <si>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</si>
  <si>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</si>
  <si>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</si>
  <si>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</si>
  <si>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</si>
  <si>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</si>
  <si>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</si>
  <si>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</si>
  <si>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</si>
  <si>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</si>
  <si>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</si>
  <si>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</si>
  <si>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</si>
  <si>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</si>
  <si>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</si>
  <si>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</si>
  <si>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</si>
  <si>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</si>
  <si>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</si>
  <si>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</si>
  <si>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</si>
  <si>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</si>
  <si>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</si>
  <si>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</si>
  <si>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</si>
  <si>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</si>
  <si>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</si>
  <si>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</si>
  <si>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</si>
  <si>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</si>
  <si>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</si>
  <si>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</si>
  <si>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</si>
  <si>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</si>
  <si>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</si>
  <si>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</si>
  <si>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</si>
  <si>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</si>
  <si>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</si>
  <si>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</si>
  <si>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</si>
  <si>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</si>
  <si>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</si>
  <si>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</si>
  <si>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</si>
  <si>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</si>
  <si>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</si>
  <si>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</si>
  <si>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</si>
  <si>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</si>
  <si>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</si>
  <si>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</si>
  <si>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</si>
  <si>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</si>
  <si>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</si>
  <si>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</si>
  <si>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</si>
  <si>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</si>
  <si>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</si>
  <si>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</si>
  <si>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</si>
  <si>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</si>
  <si>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</si>
  <si>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</si>
  <si>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</si>
  <si>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</si>
  <si>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</si>
  <si>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</si>
  <si>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</si>
  <si>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</si>
  <si>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</si>
  <si>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</si>
  <si>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</si>
  <si>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</si>
  <si>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</si>
  <si>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</si>
  <si>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</si>
  <si>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</si>
  <si>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</si>
  <si>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</si>
  <si>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</si>
  <si>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</si>
  <si>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</si>
  <si>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</si>
  <si>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</si>
  <si>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</si>
  <si>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</si>
  <si>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</si>
  <si>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</si>
  <si>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</si>
  <si>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</si>
  <si>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</si>
  <si>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</si>
  <si>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</si>
  <si>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</si>
  <si>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</si>
  <si>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</si>
  <si>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</si>
  <si>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</si>
  <si>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</si>
  <si>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</si>
  <si>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</si>
  <si>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</si>
  <si>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</si>
  <si>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</si>
  <si>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</si>
  <si>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</si>
  <si>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</si>
  <si>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</si>
  <si>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</si>
  <si>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</si>
  <si>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</si>
  <si>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</si>
  <si>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</si>
  <si>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</si>
  <si>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</si>
  <si>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</si>
  <si>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</si>
  <si>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</si>
  <si>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</si>
  <si>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</si>
  <si>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</si>
  <si>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</si>
  <si>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</si>
  <si>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</si>
  <si>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</si>
  <si>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</si>
  <si>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</si>
  <si>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</si>
  <si>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</si>
  <si>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</si>
  <si>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</si>
  <si>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</si>
  <si>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</si>
  <si>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</si>
  <si>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</si>
  <si>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</si>
  <si>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</si>
  <si>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</si>
  <si>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</si>
  <si>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</si>
  <si>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</si>
  <si>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</si>
  <si>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</si>
  <si>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</si>
  <si>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</si>
  <si>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</si>
  <si>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</si>
  <si>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</si>
  <si>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</si>
  <si>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</si>
  <si>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</si>
  <si>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</si>
  <si>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</si>
  <si>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</si>
  <si>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</si>
  <si>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</si>
  <si>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</si>
  <si>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</si>
  <si>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</si>
  <si>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</si>
  <si>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</si>
  <si>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</si>
  <si>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</si>
  <si>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</si>
  <si>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</si>
  <si>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</si>
  <si>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</si>
  <si>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</si>
  <si>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</si>
  <si>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</si>
  <si>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</si>
  <si>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</si>
  <si>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</si>
  <si>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</si>
  <si>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</si>
  <si>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</si>
  <si>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</si>
  <si>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</si>
  <si>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</si>
  <si>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</si>
  <si>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</si>
  <si>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</si>
  <si>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</si>
  <si>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</si>
  <si>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</si>
  <si>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</si>
  <si>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</si>
  <si>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</si>
  <si>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</si>
  <si>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</si>
  <si>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</si>
  <si>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</si>
  <si>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</si>
  <si>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</si>
  <si>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</si>
  <si>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</si>
  <si>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</si>
  <si>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</si>
  <si>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</si>
  <si>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</si>
  <si>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</si>
  <si>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</si>
  <si>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</si>
  <si>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</si>
  <si>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</si>
  <si>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</si>
  <si>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</si>
  <si>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</si>
  <si>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</si>
  <si>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</si>
  <si>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</si>
  <si>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</si>
  <si>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</si>
  <si>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</si>
  <si>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</si>
  <si>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</si>
  <si>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</si>
  <si>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</si>
  <si>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</si>
  <si>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</si>
  <si>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</si>
  <si>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</si>
  <si>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</si>
  <si>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</si>
  <si>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</si>
  <si>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</si>
  <si>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</si>
  <si>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</si>
  <si>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</si>
  <si>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</si>
  <si>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</si>
  <si>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</si>
  <si>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</si>
  <si>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</si>
  <si>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</si>
  <si>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</si>
  <si>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</si>
  <si>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</si>
  <si>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</si>
  <si>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</si>
  <si>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</si>
  <si>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</si>
  <si>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</si>
  <si>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</si>
  <si>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</si>
  <si>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</si>
  <si>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</si>
  <si>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</si>
  <si>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</si>
  <si>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</si>
  <si>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</si>
  <si>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</si>
  <si>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</si>
  <si>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</si>
  <si>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</si>
  <si>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</si>
  <si>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</si>
  <si>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</si>
  <si>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</si>
  <si>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</si>
  <si>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</si>
  <si>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</si>
  <si>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</si>
  <si>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</si>
  <si>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</si>
  <si>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</si>
  <si>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</si>
  <si>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</si>
  <si>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</si>
  <si>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</si>
  <si>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</si>
  <si>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</si>
  <si>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</si>
  <si>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</si>
  <si>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</si>
  <si>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</si>
  <si>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</si>
  <si>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</si>
  <si>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</si>
  <si>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</si>
  <si>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</si>
  <si>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</si>
  <si>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</si>
  <si>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</si>
  <si>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</si>
  <si>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</si>
  <si>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</si>
  <si>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</si>
  <si>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</si>
  <si>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</si>
  <si>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</si>
  <si>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</si>
  <si>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</si>
  <si>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</si>
  <si>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</si>
  <si>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</si>
  <si>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</si>
  <si>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</si>
  <si>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</si>
  <si>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</si>
  <si>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</si>
  <si>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</si>
  <si>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</si>
  <si>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</si>
  <si>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</si>
  <si>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</si>
  <si>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</si>
  <si>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</si>
  <si>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</si>
  <si>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</si>
  <si>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</si>
  <si>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</si>
  <si>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</si>
  <si>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</si>
  <si>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</si>
  <si>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</si>
  <si>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</si>
  <si>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</si>
  <si>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</si>
  <si>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</si>
  <si>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</si>
  <si>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</si>
  <si>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</si>
  <si>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</si>
  <si>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</si>
  <si>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</si>
  <si>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</si>
  <si>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</si>
  <si>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</si>
  <si>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</si>
  <si>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</si>
  <si>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</si>
  <si>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</si>
  <si>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</si>
  <si>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</si>
  <si>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</si>
  <si>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</si>
  <si>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</si>
  <si>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</si>
  <si>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</si>
  <si>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</si>
  <si>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</si>
  <si>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</si>
  <si>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</si>
  <si>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</si>
  <si>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</si>
  <si>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</si>
  <si>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</si>
  <si>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</si>
  <si>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</si>
  <si>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</si>
  <si>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</si>
  <si>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</si>
  <si>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</si>
  <si>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</si>
  <si>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</si>
  <si>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</si>
  <si>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</si>
  <si>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</si>
  <si>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</si>
  <si>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</si>
  <si>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</si>
  <si>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</si>
  <si>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</si>
  <si>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</si>
  <si>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</si>
  <si>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</si>
  <si>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</si>
  <si>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</si>
  <si>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</si>
  <si>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</si>
  <si>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</si>
  <si>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</si>
  <si>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</si>
  <si>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</si>
  <si>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</si>
  <si>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</si>
  <si>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</si>
  <si>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</si>
  <si>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</si>
  <si>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</si>
  <si>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</si>
  <si>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</si>
  <si>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</si>
  <si>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</si>
  <si>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</si>
  <si>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</si>
  <si>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</si>
  <si>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</si>
  <si>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</si>
  <si>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</si>
  <si>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</si>
  <si>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</si>
  <si>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</si>
  <si>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</si>
  <si>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</si>
  <si>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</si>
  <si>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</si>
  <si>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</si>
  <si>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</si>
  <si>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</si>
  <si>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</si>
  <si>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</si>
  <si>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</si>
  <si>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</si>
  <si>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</si>
  <si>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</si>
  <si>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</si>
  <si>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</si>
  <si>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</si>
  <si>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</si>
  <si>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</si>
  <si>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</si>
  <si>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</si>
  <si>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</si>
  <si>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</si>
  <si>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</si>
  <si>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</si>
  <si>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</si>
  <si>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</si>
  <si>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</si>
  <si>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</si>
  <si>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</si>
  <si>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</si>
  <si>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</si>
  <si>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</si>
  <si>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</si>
  <si>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</si>
  <si>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</si>
  <si>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</si>
  <si>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</si>
  <si>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</si>
  <si>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</si>
  <si>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</si>
  <si>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</si>
  <si>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</si>
  <si>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</si>
  <si>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</si>
  <si>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</si>
  <si>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</si>
  <si>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</si>
  <si>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</si>
  <si>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</si>
  <si>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</si>
  <si>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</si>
  <si>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</si>
  <si>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</si>
  <si>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</si>
  <si>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</si>
  <si>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</si>
  <si>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</si>
  <si>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</si>
  <si>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</si>
  <si>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</si>
  <si>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</si>
  <si>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</si>
  <si>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</si>
  <si>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</si>
  <si>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</si>
  <si>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</si>
  <si>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</si>
  <si>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</si>
  <si>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</si>
  <si>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</si>
  <si>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</si>
  <si>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</si>
  <si>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</si>
  <si>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</si>
  <si>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</si>
  <si>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</si>
  <si>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</si>
  <si>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</si>
  <si>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</si>
  <si>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</si>
  <si>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</si>
  <si>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</si>
  <si>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</si>
  <si>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</si>
  <si>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</si>
  <si>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</si>
  <si>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</si>
  <si>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</si>
  <si>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</si>
  <si>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</si>
  <si>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</si>
  <si>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</si>
  <si>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</si>
  <si>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</si>
  <si>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</si>
  <si>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</si>
  <si>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</si>
  <si>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</si>
  <si>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</si>
  <si>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</si>
  <si>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</si>
  <si>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</si>
  <si>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</si>
  <si>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</si>
  <si>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</si>
  <si>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</si>
  <si>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</si>
  <si>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</si>
  <si>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</si>
  <si>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</si>
  <si>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</si>
  <si>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</si>
  <si>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</si>
  <si>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</si>
  <si>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</si>
  <si>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</si>
  <si>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</si>
  <si>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</si>
  <si>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</si>
  <si>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</si>
  <si>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</si>
  <si>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</si>
  <si>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</si>
  <si>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</si>
  <si>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</si>
  <si>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</si>
  <si>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</si>
  <si>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</si>
  <si>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</si>
  <si>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</si>
  <si>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</si>
  <si>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</si>
  <si>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</si>
  <si>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</si>
  <si>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</si>
  <si>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</si>
  <si>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</si>
  <si>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</si>
  <si>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</si>
  <si>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</si>
  <si>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</si>
  <si>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</si>
  <si>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</si>
  <si>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</si>
  <si>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</si>
  <si>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</si>
  <si>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</si>
  <si>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</si>
  <si>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</si>
  <si>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</si>
  <si>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</si>
  <si>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</si>
  <si>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</si>
  <si>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</si>
  <si>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</si>
  <si>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</si>
  <si>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</si>
  <si>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</si>
  <si>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</si>
  <si>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</si>
  <si>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</si>
  <si>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</si>
  <si>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</si>
  <si>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</si>
  <si>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</si>
  <si>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</si>
  <si>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</si>
  <si>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</si>
  <si>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</si>
  <si>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</si>
  <si>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</si>
  <si>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</si>
  <si>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</si>
  <si>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</si>
  <si>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</si>
  <si>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</si>
  <si>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</si>
  <si>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</si>
  <si>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</si>
  <si>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</si>
  <si>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</si>
  <si>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</si>
  <si>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</si>
  <si>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</si>
  <si>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</si>
  <si>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</si>
  <si>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</si>
  <si>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</si>
  <si>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</si>
  <si>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</si>
  <si>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</si>
  <si>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</si>
  <si>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</si>
  <si>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</si>
  <si>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</si>
  <si>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</si>
  <si>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</si>
  <si>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</si>
  <si>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</si>
  <si>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</si>
  <si>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</si>
  <si>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</si>
  <si>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</si>
  <si>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</si>
  <si>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</si>
  <si>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</si>
  <si>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</si>
  <si>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</si>
  <si>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</si>
  <si>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</si>
  <si>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</si>
  <si>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</si>
  <si>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</si>
  <si>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</si>
  <si>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</si>
  <si>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</si>
  <si>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</si>
  <si>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</si>
  <si>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</si>
  <si>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</si>
  <si>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</si>
  <si>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</si>
  <si>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</si>
  <si>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</si>
  <si>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</si>
  <si>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</si>
  <si>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</si>
  <si>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</si>
  <si>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</si>
  <si>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</si>
  <si>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</si>
  <si>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</si>
  <si>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</si>
  <si>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</si>
  <si>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</si>
  <si>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</si>
  <si>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</si>
  <si>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</si>
  <si>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</si>
  <si>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</si>
  <si>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</si>
  <si>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</si>
  <si>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</si>
  <si>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</si>
  <si>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</si>
  <si>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</si>
  <si>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</si>
  <si>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</si>
  <si>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</si>
  <si>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</si>
  <si>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</si>
  <si>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</si>
  <si>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</si>
  <si>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</si>
  <si>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</si>
  <si>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</si>
  <si>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</si>
  <si>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</si>
  <si>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</si>
  <si>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</si>
  <si>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</si>
  <si>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</si>
  <si>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</si>
  <si>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</si>
  <si>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</si>
  <si>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</si>
  <si>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</si>
  <si>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</si>
  <si>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</si>
  <si>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</si>
  <si>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</si>
  <si>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</si>
  <si>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</si>
  <si>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</si>
  <si>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</si>
  <si>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</si>
  <si>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</si>
  <si>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</si>
  <si>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</si>
  <si>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</si>
  <si>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</si>
  <si>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</si>
  <si>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</si>
  <si>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</si>
  <si>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</si>
  <si>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</si>
  <si>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</si>
  <si>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</si>
  <si>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</si>
  <si>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</si>
  <si>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</si>
  <si>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</si>
  <si>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</si>
  <si>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</si>
  <si>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</si>
  <si>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</si>
  <si>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</si>
  <si>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</si>
  <si>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</si>
  <si>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</si>
  <si>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</si>
  <si>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</si>
  <si>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</si>
  <si>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</si>
  <si>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</si>
  <si>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</si>
  <si>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</si>
  <si>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</si>
  <si>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</si>
  <si>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</si>
  <si>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</si>
  <si>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</si>
  <si>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</si>
  <si>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</si>
  <si>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</si>
  <si>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</si>
  <si>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</si>
  <si>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</si>
  <si>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</si>
  <si>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</si>
  <si>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</si>
  <si>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</si>
  <si>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</si>
  <si>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</si>
  <si>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</si>
  <si>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</si>
  <si>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</si>
  <si>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</si>
  <si>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</si>
  <si>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</si>
  <si>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</si>
  <si>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</si>
  <si>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</si>
  <si>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</si>
  <si>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</si>
  <si>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</si>
  <si>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</si>
  <si>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</si>
  <si>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</si>
  <si>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</si>
  <si>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</si>
  <si>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</si>
  <si>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</si>
  <si>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</si>
  <si>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</si>
  <si>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</si>
  <si>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</si>
  <si>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</si>
  <si>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</si>
  <si>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</si>
  <si>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</si>
  <si>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</si>
  <si>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</si>
  <si>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</si>
  <si>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</si>
  <si>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</si>
  <si>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</si>
  <si>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</si>
  <si>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</si>
  <si>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</si>
  <si>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</si>
  <si>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</si>
  <si>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</si>
  <si>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</si>
  <si>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</si>
  <si>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</si>
  <si>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</si>
  <si>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</si>
  <si>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</si>
  <si>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</si>
  <si>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</si>
  <si>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</si>
  <si>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</si>
  <si>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</si>
  <si>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</si>
  <si>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</si>
  <si>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</si>
  <si>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</si>
  <si>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</si>
  <si>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</si>
  <si>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</si>
  <si>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</si>
  <si>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</si>
  <si>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</si>
  <si>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</si>
  <si>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</si>
  <si>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</si>
  <si>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</si>
  <si>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</si>
  <si>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</si>
  <si>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</si>
  <si>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</si>
  <si>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</si>
  <si>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</si>
  <si>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</si>
  <si>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</si>
  <si>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</si>
  <si>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</si>
  <si>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</si>
  <si>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</si>
  <si>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</si>
  <si>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</si>
  <si>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</si>
  <si>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</si>
  <si>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</si>
  <si>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</si>
  <si>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</si>
  <si>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</si>
  <si>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</si>
  <si>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</si>
  <si>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</si>
  <si>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</si>
  <si>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</si>
  <si>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</si>
  <si>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</si>
  <si>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</si>
  <si>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</si>
  <si>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</si>
  <si>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</si>
  <si>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</si>
  <si>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</si>
  <si>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</si>
  <si>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</si>
  <si>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</si>
  <si>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</si>
  <si>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</si>
  <si>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</si>
  <si>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</si>
  <si>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</si>
  <si>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</si>
  <si>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</si>
  <si>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</si>
  <si>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</si>
  <si>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</si>
  <si>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</si>
  <si>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</si>
  <si>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</si>
  <si>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</si>
  <si>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</si>
  <si>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</si>
  <si>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</si>
  <si>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</si>
  <si>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</si>
  <si>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</si>
  <si>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</si>
  <si>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</si>
  <si>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</si>
  <si>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</si>
  <si>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</si>
  <si>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</si>
  <si>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</si>
  <si>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</si>
  <si>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</si>
  <si>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</si>
  <si>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</si>
  <si>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</si>
  <si>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</si>
  <si>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</si>
  <si>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</si>
  <si>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</si>
  <si>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</si>
  <si>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</si>
  <si>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</si>
  <si>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</si>
  <si>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</si>
  <si>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</si>
  <si>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</si>
  <si>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</si>
  <si>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</si>
  <si>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</si>
  <si>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</si>
  <si>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</si>
  <si>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</si>
  <si>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</si>
  <si>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</si>
  <si>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</si>
  <si>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</si>
  <si>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</si>
  <si>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</si>
  <si>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</si>
  <si>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</si>
  <si>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</si>
  <si>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</si>
  <si>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</si>
  <si>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</si>
  <si>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</si>
  <si>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</si>
  <si>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</si>
  <si>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</si>
  <si>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</si>
  <si>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</si>
  <si>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</si>
  <si>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</si>
  <si>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</si>
  <si>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</si>
  <si>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</si>
  <si>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</si>
  <si>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</si>
  <si>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</si>
  <si>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</si>
  <si>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</si>
  <si>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</si>
  <si>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</si>
  <si>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</si>
  <si>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</si>
  <si>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</si>
  <si>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</si>
  <si>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</si>
  <si>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</si>
  <si>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</si>
  <si>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</si>
  <si>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</si>
  <si>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</si>
  <si>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</si>
  <si>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</si>
  <si>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</si>
  <si>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</si>
  <si>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</si>
  <si>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</si>
  <si>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</si>
  <si>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</si>
  <si>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</si>
  <si>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</si>
  <si>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</si>
  <si>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</si>
  <si>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</si>
  <si>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</si>
  <si>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</si>
  <si>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</si>
  <si>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</si>
  <si>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</si>
  <si>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</si>
  <si>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</si>
  <si>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</si>
  <si>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</si>
  <si>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</si>
  <si>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</si>
  <si>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</si>
  <si>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</si>
  <si>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</si>
  <si>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</si>
  <si>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</si>
  <si>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</si>
  <si>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</si>
  <si>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</si>
  <si>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</si>
  <si>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</si>
  <si>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</si>
  <si>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</si>
  <si>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</si>
  <si>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</si>
  <si>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</si>
  <si>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</si>
  <si>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</si>
  <si>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</si>
  <si>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</si>
  <si>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</si>
  <si>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</si>
  <si>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</si>
  <si>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</si>
  <si>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</si>
  <si>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</si>
  <si>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</si>
  <si>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</si>
  <si>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</si>
  <si>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</si>
  <si>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</si>
  <si>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</si>
  <si>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</si>
  <si>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</si>
  <si>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</si>
  <si>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</si>
  <si>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</si>
  <si>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</si>
  <si>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</si>
  <si>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</si>
  <si>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</si>
  <si>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</si>
  <si>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</si>
  <si>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</si>
  <si>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</si>
  <si>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</si>
  <si>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</si>
  <si>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</si>
  <si>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</si>
  <si>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</si>
  <si>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</si>
  <si>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</si>
  <si>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</si>
  <si>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</si>
  <si>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</si>
  <si>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</si>
  <si>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</si>
  <si>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</si>
  <si>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</si>
  <si>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</si>
  <si>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</si>
  <si>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</si>
  <si>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</si>
  <si>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</si>
  <si>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</si>
  <si>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</si>
  <si>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</si>
  <si>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</si>
  <si>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</si>
  <si>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</si>
  <si>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</si>
  <si>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</si>
  <si>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</si>
  <si>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</si>
  <si>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</si>
  <si>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</si>
  <si>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</si>
  <si>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</si>
  <si>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</si>
  <si>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</si>
  <si>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</si>
  <si>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</si>
  <si>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</si>
  <si>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</si>
  <si>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</si>
  <si>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</si>
  <si>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</si>
  <si>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</si>
  <si>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</si>
  <si>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</si>
  <si>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</si>
  <si>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</si>
  <si>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</si>
  <si>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</si>
  <si>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</si>
  <si>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</si>
  <si>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</si>
  <si>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</si>
  <si>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</si>
  <si>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</si>
  <si>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</si>
  <si>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</si>
  <si>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</si>
  <si>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</si>
  <si>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</si>
  <si>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</si>
  <si>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</si>
  <si>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</si>
  <si>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</si>
  <si>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</si>
  <si>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</si>
  <si>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</si>
  <si>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</si>
  <si>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</si>
  <si>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</si>
  <si>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</si>
  <si>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</si>
  <si>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</si>
  <si>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</si>
  <si>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</si>
  <si>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</si>
  <si>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</si>
  <si>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</si>
  <si>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</si>
  <si>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</si>
  <si>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</si>
  <si>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</si>
  <si>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</si>
  <si>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</si>
  <si>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</si>
  <si>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</si>
  <si>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</si>
  <si>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</si>
  <si>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</si>
  <si>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</si>
  <si>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</si>
  <si>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</si>
  <si>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</si>
  <si>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</si>
  <si>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</si>
  <si>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</si>
  <si>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</si>
  <si>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</si>
  <si>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</si>
  <si>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</si>
  <si>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</si>
  <si>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</si>
  <si>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</si>
  <si>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</si>
  <si>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</si>
  <si>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</si>
  <si>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</si>
  <si>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</si>
  <si>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</si>
  <si>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</si>
  <si>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</si>
  <si>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</si>
  <si>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</si>
  <si>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</si>
  <si>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</si>
  <si>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</si>
  <si>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</si>
  <si>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</si>
  <si>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</si>
  <si>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</si>
  <si>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</si>
  <si>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</si>
  <si>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</si>
  <si>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</si>
  <si>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</si>
  <si>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</si>
  <si>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</si>
  <si>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</si>
  <si>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</si>
  <si>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</si>
  <si>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</si>
  <si>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</si>
  <si>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</si>
  <si>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</si>
  <si>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</si>
  <si>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</si>
  <si>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</si>
  <si>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</si>
  <si>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</si>
  <si>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</si>
  <si>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</si>
  <si>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</si>
  <si>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</si>
  <si>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</si>
  <si>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</si>
  <si>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</si>
  <si>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</si>
  <si>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</si>
  <si>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</si>
  <si>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</si>
  <si>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</si>
  <si>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</si>
  <si>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</si>
  <si>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</si>
  <si>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</si>
  <si>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</si>
  <si>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</si>
  <si>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</si>
  <si>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</si>
  <si>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</si>
  <si>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</si>
  <si>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</si>
  <si>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</si>
  <si>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</si>
  <si>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</si>
  <si>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</si>
  <si>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</si>
  <si>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</si>
  <si>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</si>
  <si>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</si>
  <si>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</si>
  <si>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</si>
  <si>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</si>
  <si>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</si>
  <si>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</si>
  <si>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</si>
  <si>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</si>
  <si>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</si>
  <si>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</si>
  <si>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</si>
  <si>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</si>
  <si>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</si>
  <si>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</si>
  <si>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</si>
  <si>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</si>
  <si>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</si>
  <si>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</si>
  <si>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</si>
  <si>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</si>
  <si>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</si>
  <si>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</si>
  <si>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</si>
  <si>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</si>
  <si>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</si>
  <si>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</si>
  <si>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</si>
  <si>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</si>
  <si>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</si>
  <si>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</si>
  <si>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</si>
  <si>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</si>
  <si>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</si>
  <si>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</si>
  <si>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</si>
  <si>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</si>
  <si>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</si>
  <si>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</si>
  <si>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</si>
  <si>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</si>
  <si>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</si>
  <si>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</si>
  <si>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</si>
  <si>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</si>
  <si>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</si>
  <si>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</si>
  <si>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</si>
  <si>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</si>
  <si>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</si>
  <si>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</si>
  <si>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</si>
  <si>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</si>
  <si>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</si>
  <si>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</si>
  <si>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</si>
  <si>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</si>
  <si>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</si>
  <si>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</si>
  <si>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</si>
  <si>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</si>
  <si>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</si>
  <si>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</si>
  <si>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</si>
  <si>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</si>
  <si>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</si>
  <si>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</si>
  <si>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</si>
  <si>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</si>
  <si>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</si>
  <si>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</si>
  <si>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</si>
  <si>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</si>
  <si>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</si>
  <si>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</si>
  <si>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</si>
  <si>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</si>
  <si>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</si>
  <si>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</si>
  <si>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</si>
  <si>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</si>
  <si>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</si>
  <si>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</si>
  <si>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</si>
  <si>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</si>
  <si>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</si>
  <si>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</si>
  <si>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</si>
  <si>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</si>
  <si>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</si>
  <si>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</si>
  <si>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</si>
  <si>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</si>
  <si>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</si>
  <si>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</si>
  <si>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</si>
  <si>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</si>
  <si>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</si>
  <si>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</si>
  <si>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</si>
  <si>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</si>
  <si>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</si>
  <si>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</si>
  <si>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</si>
  <si>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</si>
  <si>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</si>
  <si>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</si>
  <si>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</si>
  <si>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</si>
  <si>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</si>
  <si>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</si>
  <si>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</si>
  <si>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</si>
  <si>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</si>
  <si>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</si>
  <si>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</si>
  <si>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</si>
  <si>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</si>
  <si>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</si>
  <si>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</si>
  <si>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</si>
  <si>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</si>
  <si>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</si>
  <si>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</si>
  <si>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</si>
  <si>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</si>
  <si>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</si>
  <si>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</si>
  <si>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</si>
  <si>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</si>
  <si>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</si>
  <si>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</si>
  <si>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</si>
  <si>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</si>
  <si>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</si>
  <si>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</si>
  <si>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</si>
  <si>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</si>
  <si>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</si>
  <si>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</si>
  <si>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</si>
  <si>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</si>
  <si>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</si>
  <si>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</si>
  <si>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</si>
  <si>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</si>
  <si>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</si>
  <si>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</si>
  <si>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</si>
  <si>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</si>
  <si>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</si>
  <si>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</si>
  <si>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</si>
  <si>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</si>
  <si>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</si>
  <si>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</si>
  <si>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</si>
  <si>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</si>
  <si>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</si>
  <si>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</si>
  <si>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</si>
  <si>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</si>
  <si>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</si>
  <si>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</si>
  <si>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</si>
  <si>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</si>
  <si>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</si>
  <si>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</si>
  <si>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</si>
  <si>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</si>
  <si>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</si>
  <si>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</si>
  <si>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</si>
  <si>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</si>
  <si>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</si>
  <si>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</si>
  <si>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</si>
  <si>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</si>
  <si>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</si>
  <si>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</si>
  <si>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</si>
  <si>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</si>
  <si>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</si>
  <si>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</si>
  <si>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</si>
  <si>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</si>
  <si>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</si>
  <si>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</si>
  <si>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</si>
  <si>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</si>
  <si>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</si>
  <si>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</si>
  <si>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</si>
  <si>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</si>
  <si>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</si>
  <si>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</si>
  <si>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</si>
  <si>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</si>
  <si>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</si>
  <si>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</si>
  <si>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</si>
  <si>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</si>
  <si>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</si>
  <si>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</si>
  <si>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</si>
  <si>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</si>
  <si>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</si>
  <si>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</si>
  <si>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</si>
  <si>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</si>
  <si>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</si>
  <si>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</si>
  <si>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</si>
  <si>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</si>
  <si>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</si>
  <si>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</si>
  <si>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</si>
  <si>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</si>
  <si>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</si>
  <si>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</si>
  <si>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</si>
  <si>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</si>
  <si>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</si>
  <si>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</si>
  <si>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</si>
  <si>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</si>
  <si>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</si>
  <si>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</si>
  <si>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</si>
  <si>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</si>
  <si>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</si>
  <si>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</si>
  <si>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</si>
  <si>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</si>
  <si>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</si>
  <si>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</si>
  <si>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</si>
  <si>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</si>
  <si>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</si>
  <si>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</si>
  <si>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</si>
  <si>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</si>
  <si>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</si>
  <si>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</si>
  <si>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</si>
  <si>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</si>
  <si>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</si>
  <si>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</si>
  <si>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</si>
  <si>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</si>
  <si>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</si>
  <si>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</si>
  <si>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</si>
  <si>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</si>
  <si>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</si>
  <si>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</si>
  <si>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</si>
  <si>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</si>
  <si>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</si>
  <si>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</si>
  <si>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</si>
  <si>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</si>
  <si>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</si>
  <si>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</si>
  <si>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</si>
  <si>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</si>
  <si>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</si>
  <si>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</si>
  <si>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</si>
  <si>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</si>
  <si>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</si>
  <si>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</si>
  <si>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</si>
  <si>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</si>
  <si>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</si>
  <si>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</si>
  <si>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</si>
  <si>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</si>
  <si>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</si>
  <si>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</si>
  <si>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</si>
  <si>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</si>
  <si>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</si>
  <si>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</si>
  <si>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</si>
  <si>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</si>
  <si>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</si>
  <si>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</si>
  <si>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</si>
  <si>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</si>
  <si>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</si>
  <si>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</si>
  <si>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</si>
  <si>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</si>
  <si>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</si>
  <si>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</si>
  <si>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</si>
  <si>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</si>
  <si>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</si>
  <si>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</si>
  <si>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</si>
  <si>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</si>
  <si>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</si>
  <si>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</si>
  <si>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</si>
  <si>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</si>
  <si>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</si>
  <si>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</si>
  <si>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</si>
  <si>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</si>
  <si>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</si>
  <si>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</si>
  <si>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</si>
  <si>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</si>
  <si>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</si>
  <si>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</si>
  <si>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</si>
  <si>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</si>
  <si>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</si>
  <si>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</si>
  <si>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</si>
  <si>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</si>
  <si>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</si>
  <si>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</si>
  <si>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</si>
  <si>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</si>
  <si>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</si>
  <si>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</si>
  <si>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</si>
  <si>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</si>
  <si>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</si>
  <si>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</si>
  <si>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</si>
  <si>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</si>
  <si>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</si>
  <si>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</si>
  <si>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</si>
  <si>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</si>
  <si>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</si>
  <si>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</si>
  <si>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</si>
  <si>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</si>
  <si>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</si>
  <si>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</si>
  <si>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</si>
  <si>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</si>
  <si>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</si>
  <si>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</si>
  <si>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</si>
  <si>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</si>
  <si>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</si>
  <si>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</si>
  <si>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</si>
  <si>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</si>
  <si>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</si>
  <si>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</si>
  <si>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</si>
  <si>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</si>
  <si>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</si>
  <si>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</si>
  <si>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</si>
  <si>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</si>
  <si>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</si>
  <si>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</si>
  <si>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</si>
  <si>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</si>
  <si>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</si>
  <si>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</si>
  <si>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</si>
  <si>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</si>
  <si>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</si>
  <si>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</si>
  <si>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</si>
  <si>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</si>
  <si>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</si>
  <si>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</si>
  <si>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</si>
  <si>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</si>
  <si>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</si>
  <si>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</si>
  <si>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</si>
  <si>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</si>
  <si>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</si>
  <si>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</si>
  <si>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</si>
  <si>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</si>
  <si>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</si>
  <si>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</si>
  <si>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</si>
  <si>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</si>
  <si>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</si>
  <si>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</si>
  <si>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</si>
  <si>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</si>
  <si>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</si>
  <si>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</si>
  <si>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</si>
  <si>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</si>
  <si>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</si>
  <si>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</si>
  <si>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</si>
  <si>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</si>
  <si>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</si>
  <si>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</si>
  <si>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</si>
  <si>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</si>
  <si>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</si>
  <si>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</si>
  <si>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</si>
  <si>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</si>
  <si>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</si>
  <si>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</si>
  <si>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</si>
  <si>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</si>
  <si>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</si>
  <si>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</si>
  <si>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</si>
  <si>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</si>
  <si>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</si>
  <si>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</si>
  <si>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</si>
  <si>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</si>
  <si>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</si>
  <si>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</si>
  <si>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</si>
  <si>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</si>
  <si>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</si>
  <si>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</si>
  <si>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</si>
  <si>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</si>
  <si>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</si>
  <si>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</si>
  <si>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</si>
  <si>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</si>
  <si>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</si>
  <si>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</si>
  <si>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</si>
  <si>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</si>
  <si>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</si>
  <si>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</si>
  <si>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</si>
  <si>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</si>
  <si>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</si>
  <si>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</si>
  <si>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</si>
  <si>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</si>
  <si>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</si>
  <si>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</si>
  <si>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</si>
  <si>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</si>
  <si>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</si>
  <si>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</si>
  <si>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</si>
  <si>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</si>
  <si>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</si>
  <si>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</si>
  <si>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</si>
  <si>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</si>
  <si>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</si>
  <si>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</si>
  <si>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</si>
  <si>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</si>
  <si>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</si>
  <si>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</si>
  <si>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</si>
  <si>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</si>
  <si>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</si>
  <si>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</si>
  <si>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</si>
  <si>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</si>
  <si>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</si>
  <si>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</si>
  <si>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</si>
  <si>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</si>
  <si>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</si>
  <si>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</si>
  <si>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</si>
  <si>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</si>
  <si>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</si>
  <si>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</si>
  <si>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</si>
  <si>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</si>
  <si>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</si>
  <si>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</si>
  <si>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</si>
  <si>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</si>
  <si>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</si>
  <si>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</si>
  <si>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</si>
  <si>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</si>
  <si>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</si>
  <si>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</si>
  <si>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</si>
  <si>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</si>
  <si>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</si>
  <si>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</si>
  <si>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</si>
  <si>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</si>
  <si>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</si>
  <si>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</si>
  <si>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</si>
  <si>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</si>
  <si>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</si>
  <si>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</si>
  <si>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</si>
  <si>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</si>
  <si>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</si>
  <si>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</si>
  <si>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</si>
  <si>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</si>
  <si>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</si>
  <si>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</si>
  <si>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</si>
  <si>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</si>
  <si>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</si>
  <si>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</si>
  <si>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</si>
  <si>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</si>
  <si>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</si>
  <si>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</si>
  <si>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</si>
  <si>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</si>
  <si>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</si>
  <si>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</si>
  <si>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</si>
  <si>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</si>
  <si>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</si>
  <si>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</si>
  <si>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</si>
  <si>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</si>
  <si>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</si>
  <si>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</si>
  <si>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</si>
  <si>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</si>
  <si>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</si>
  <si>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</si>
  <si>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</si>
  <si>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</si>
  <si>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</si>
  <si>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</si>
  <si>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</si>
  <si>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</si>
  <si>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</si>
  <si>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</si>
  <si>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</si>
  <si>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</si>
  <si>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</si>
  <si>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</si>
  <si>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</si>
  <si>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</si>
  <si>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</si>
  <si>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</si>
  <si>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</si>
  <si>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</si>
  <si>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</si>
  <si>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</si>
  <si>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</si>
  <si>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</si>
  <si>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</si>
  <si>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</si>
  <si>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</si>
  <si>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</si>
  <si>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</si>
  <si>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</si>
  <si>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</si>
  <si>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</si>
  <si>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</si>
  <si>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</si>
  <si>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</si>
  <si>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</si>
  <si>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</si>
  <si>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</si>
  <si>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</si>
  <si>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</si>
  <si>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</si>
  <si>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</si>
  <si>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</si>
  <si>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</si>
  <si>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</si>
  <si>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</si>
  <si>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</si>
  <si>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</si>
  <si>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</si>
  <si>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</si>
  <si>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</si>
  <si>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</si>
  <si>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</si>
  <si>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</si>
  <si>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</si>
  <si>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</si>
  <si>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</si>
  <si>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</si>
  <si>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</si>
  <si>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</si>
  <si>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</si>
  <si>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</si>
  <si>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</si>
  <si>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</si>
  <si>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</si>
  <si>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</si>
  <si>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</si>
  <si>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</si>
  <si>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</si>
  <si>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</si>
  <si>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</si>
  <si>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</si>
  <si>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</si>
  <si>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</si>
  <si>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</si>
  <si>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</si>
  <si>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</si>
  <si>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</si>
  <si>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</si>
  <si>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</si>
  <si>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</si>
  <si>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</si>
  <si>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</si>
  <si>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</si>
  <si>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</si>
  <si>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</si>
  <si>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</si>
  <si>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</si>
  <si>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</si>
  <si>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</si>
  <si>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</si>
  <si>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</si>
  <si>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</si>
  <si>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</si>
  <si>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</si>
  <si>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</si>
  <si>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</si>
  <si>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</si>
  <si>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</si>
  <si>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</si>
  <si>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</si>
  <si>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</si>
  <si>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</si>
  <si>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</si>
  <si>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</si>
  <si>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</si>
  <si>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</si>
  <si>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</si>
  <si>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</si>
  <si>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</si>
  <si>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</si>
  <si>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</si>
  <si>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</si>
  <si>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</si>
  <si>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</si>
  <si>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</si>
  <si>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</si>
  <si>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</si>
  <si>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</si>
  <si>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</si>
  <si>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</si>
  <si>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</si>
  <si>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</si>
  <si>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</si>
  <si>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</si>
  <si>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</si>
  <si>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</si>
  <si>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</si>
  <si>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</si>
  <si>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</si>
  <si>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</si>
  <si>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</si>
  <si>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</si>
  <si>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</si>
  <si>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</si>
  <si>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</si>
  <si>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</si>
  <si>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</si>
  <si>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</si>
  <si>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</si>
  <si>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</si>
  <si>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</si>
  <si>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</si>
  <si>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</si>
  <si>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</si>
  <si>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</si>
  <si>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</si>
  <si>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</si>
  <si>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</si>
  <si>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</si>
  <si>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</si>
  <si>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</si>
  <si>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</si>
  <si>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</si>
  <si>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</si>
  <si>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</si>
  <si>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</si>
  <si>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</si>
  <si>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</si>
  <si>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</si>
  <si>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</si>
  <si>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</si>
  <si>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</si>
  <si>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</si>
  <si>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</si>
  <si>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</si>
  <si>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</si>
  <si>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</si>
  <si>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</si>
  <si>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</si>
  <si>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</si>
  <si>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</si>
  <si>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</si>
  <si>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</si>
  <si>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</si>
  <si>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</si>
  <si>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</si>
  <si>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</si>
  <si>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</si>
  <si>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</si>
  <si>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</si>
  <si>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</si>
  <si>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</si>
  <si>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</si>
  <si>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</si>
  <si>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</si>
  <si>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</si>
  <si>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</si>
  <si>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</si>
  <si>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</si>
  <si>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</si>
  <si>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</si>
  <si>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</si>
  <si>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</si>
  <si>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</si>
  <si>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</si>
  <si>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</si>
  <si>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</si>
  <si>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</si>
  <si>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</si>
  <si>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</si>
  <si>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</si>
  <si>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</si>
  <si>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</si>
  <si>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</si>
  <si>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</si>
  <si>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</si>
  <si>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</si>
  <si>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</si>
  <si>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</si>
  <si>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</si>
  <si>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</si>
  <si>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</si>
  <si>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</si>
  <si>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</si>
  <si>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</si>
  <si>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</si>
  <si>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</si>
  <si>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</si>
  <si>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</si>
  <si>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</si>
  <si>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</si>
  <si>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</si>
  <si>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</si>
  <si>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</si>
  <si>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</si>
  <si>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</si>
  <si>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</si>
  <si>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</si>
  <si>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</si>
  <si>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</si>
  <si>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</si>
  <si>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</si>
  <si>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</si>
  <si>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</si>
  <si>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</si>
  <si>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</si>
  <si>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</si>
  <si>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</si>
  <si>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</si>
  <si>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</si>
  <si>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</si>
  <si>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</si>
  <si>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</si>
  <si>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</si>
  <si>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</si>
  <si>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</si>
  <si>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</si>
  <si>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</si>
  <si>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</si>
  <si>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</si>
  <si>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</si>
  <si>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</si>
  <si>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</si>
  <si>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</si>
  <si>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</si>
  <si>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</si>
  <si>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</si>
  <si>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</si>
  <si>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</si>
  <si>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</si>
  <si>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</si>
  <si>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</si>
  <si>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</si>
  <si>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</si>
  <si>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</si>
  <si>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</si>
  <si>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</si>
  <si>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</si>
  <si>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</si>
  <si>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</si>
  <si>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</si>
  <si>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</si>
  <si>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</si>
  <si>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</si>
  <si>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</si>
  <si>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</si>
  <si>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</si>
  <si>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</si>
  <si>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</si>
  <si>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</si>
  <si>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</si>
  <si>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</si>
  <si>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</si>
  <si>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</si>
  <si>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</si>
  <si>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</si>
  <si>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</si>
  <si>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</si>
  <si>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</si>
  <si>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</si>
  <si>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</si>
  <si>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</si>
  <si>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</si>
  <si>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</si>
  <si>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</si>
  <si>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</si>
  <si>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</si>
  <si>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</si>
  <si>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</si>
  <si>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</si>
  <si>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</si>
  <si>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</si>
  <si>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</si>
  <si>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</si>
  <si>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</si>
  <si>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</si>
  <si>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</si>
  <si>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</si>
  <si>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</si>
  <si>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</si>
  <si>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</si>
  <si>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</si>
  <si>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</si>
  <si>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</si>
  <si>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</si>
  <si>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</si>
  <si>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</si>
  <si>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</si>
  <si>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</si>
  <si>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</si>
  <si>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</si>
  <si>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</si>
  <si>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</si>
  <si>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</si>
  <si>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</si>
  <si>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</si>
  <si>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</si>
  <si>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</si>
  <si>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</si>
  <si>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</si>
  <si>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</si>
  <si>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</si>
  <si>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</si>
  <si>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</si>
  <si>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</si>
  <si>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</si>
  <si>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</si>
  <si>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</si>
  <si>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</si>
  <si>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</si>
  <si>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</si>
  <si>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</si>
  <si>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</si>
  <si>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</si>
  <si>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</si>
  <si>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</si>
  <si>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</si>
  <si>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</si>
  <si>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</si>
  <si>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</si>
  <si>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</si>
  <si>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</si>
  <si>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</si>
  <si>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</si>
  <si>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</si>
  <si>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</si>
  <si>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</si>
  <si>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</si>
  <si>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</si>
  <si>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</si>
  <si>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</si>
  <si>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</si>
  <si>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</si>
  <si>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</si>
  <si>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</si>
  <si>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</si>
  <si>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</si>
  <si>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</si>
  <si>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</si>
  <si>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</si>
  <si>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</si>
  <si>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</si>
  <si>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</si>
  <si>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</si>
  <si>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</si>
  <si>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</si>
  <si>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</si>
  <si>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</si>
  <si>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</si>
  <si>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</si>
  <si>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</si>
  <si>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</si>
  <si>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</si>
  <si>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</si>
  <si>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</si>
  <si>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</si>
  <si>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</si>
  <si>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</si>
  <si>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</si>
  <si>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</si>
  <si>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</si>
  <si>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</si>
  <si>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</si>
  <si>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</si>
  <si>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</si>
  <si>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</si>
  <si>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</si>
  <si>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</si>
  <si>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</si>
  <si>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</si>
  <si>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</si>
  <si>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</si>
  <si>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</si>
  <si>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</si>
  <si>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</si>
  <si>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</si>
  <si>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</si>
  <si>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</si>
  <si>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</si>
  <si>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</si>
  <si>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</si>
  <si>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</si>
  <si>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</si>
  <si>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</si>
  <si>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</si>
  <si>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</si>
  <si>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</si>
  <si>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</si>
  <si>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</si>
  <si>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</si>
  <si>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</si>
  <si>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</si>
  <si>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</si>
  <si>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</si>
  <si>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</si>
  <si>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</si>
  <si>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</si>
  <si>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</si>
  <si>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</si>
  <si>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</si>
  <si>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</si>
  <si>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</si>
  <si>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</si>
  <si>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</si>
  <si>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</si>
  <si>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</si>
  <si>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</si>
  <si>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</si>
  <si>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</si>
  <si>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</si>
  <si>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</si>
  <si>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</si>
  <si>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</si>
  <si>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</si>
  <si>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</si>
  <si>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</si>
  <si>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</si>
  <si>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</si>
  <si>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</si>
  <si>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</si>
  <si>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</si>
  <si>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</si>
  <si>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</si>
  <si>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</si>
  <si>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</si>
  <si>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</si>
  <si>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</si>
  <si>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</si>
  <si>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</si>
  <si>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</si>
  <si>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</si>
  <si>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</si>
  <si>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</si>
  <si>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</si>
  <si>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</si>
  <si>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</si>
  <si>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</si>
  <si>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</si>
  <si>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</si>
  <si>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</si>
  <si>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</si>
  <si>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</si>
  <si>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</si>
  <si>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</si>
  <si>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</si>
  <si>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</si>
  <si>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</si>
  <si>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</si>
  <si>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</si>
  <si>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</si>
  <si>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</si>
  <si>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</si>
  <si>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</si>
  <si>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</si>
  <si>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</si>
  <si>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</si>
  <si>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</si>
  <si>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</si>
  <si>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</si>
  <si>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</si>
  <si>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</si>
  <si>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</si>
  <si>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</si>
  <si>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</si>
  <si>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</si>
  <si>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</si>
  <si>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</si>
  <si>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</si>
  <si>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</si>
  <si>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</si>
  <si>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</si>
  <si>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</si>
  <si>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</si>
  <si>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</si>
  <si>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</si>
  <si>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</si>
  <si>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</si>
  <si>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</si>
  <si>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</si>
  <si>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</si>
  <si>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</si>
  <si>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</si>
  <si>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</si>
  <si>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</si>
  <si>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</si>
  <si>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</si>
  <si>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</si>
  <si>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</si>
  <si>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</si>
  <si>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</si>
  <si>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</si>
  <si>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</si>
  <si>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</si>
  <si>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</si>
  <si>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</si>
  <si>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</si>
  <si>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</si>
  <si>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</si>
  <si>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</si>
  <si>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</si>
  <si>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</si>
  <si>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</si>
  <si>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</si>
  <si>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</si>
  <si>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</si>
  <si>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</si>
  <si>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</si>
  <si>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</si>
  <si>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</si>
  <si>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</si>
  <si>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</si>
  <si>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</si>
  <si>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</si>
  <si>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</si>
  <si>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</si>
  <si>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</si>
  <si>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</si>
  <si>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</si>
  <si>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</si>
  <si>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</si>
  <si>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</si>
  <si>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</si>
  <si>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</si>
  <si>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</si>
  <si>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</si>
  <si>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</si>
  <si>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</si>
  <si>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</si>
  <si>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</si>
  <si>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</si>
  <si>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</si>
  <si>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</si>
  <si>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</si>
  <si>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</si>
  <si>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</si>
  <si>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</si>
  <si>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</si>
  <si>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</si>
  <si>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</si>
  <si>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</si>
  <si>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</si>
  <si>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</si>
  <si>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</si>
  <si>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</si>
  <si>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</si>
  <si>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</si>
  <si>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</si>
  <si>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</si>
  <si>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</si>
  <si>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</si>
  <si>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</si>
  <si>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</si>
  <si>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</si>
  <si>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</si>
  <si>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</si>
  <si>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</si>
  <si>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</si>
  <si>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</si>
  <si>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</si>
  <si>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</si>
  <si>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</si>
  <si>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</si>
  <si>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</si>
  <si>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</si>
  <si>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</si>
  <si>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</si>
  <si>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</si>
  <si>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</si>
  <si>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</si>
  <si>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</si>
  <si>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</si>
  <si>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</si>
  <si>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</si>
  <si>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</si>
  <si>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</si>
  <si>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</si>
  <si>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</si>
  <si>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</si>
  <si>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</si>
  <si>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</si>
  <si>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</si>
  <si>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</si>
  <si>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</si>
  <si>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</si>
  <si>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</si>
  <si>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</si>
  <si>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</si>
  <si>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</si>
  <si>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</si>
  <si>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</si>
  <si>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</si>
  <si>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</si>
  <si>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</si>
  <si>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</si>
  <si>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</si>
  <si>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</si>
  <si>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</si>
  <si>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</si>
  <si>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</si>
  <si>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</si>
  <si>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</si>
  <si>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</si>
  <si>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</si>
  <si>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</si>
  <si>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</si>
  <si>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</si>
  <si>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</si>
  <si>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</si>
  <si>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</si>
  <si>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</si>
  <si>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</si>
  <si>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</si>
  <si>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</si>
  <si>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</si>
  <si>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</si>
  <si>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</si>
  <si>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</si>
  <si>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</si>
  <si>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</si>
  <si>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</si>
  <si>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</si>
  <si>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</si>
  <si>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</si>
  <si>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</si>
  <si>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</si>
  <si>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</si>
  <si>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</si>
  <si>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</si>
  <si>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</si>
  <si>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</si>
  <si>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</si>
  <si>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</si>
  <si>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</si>
  <si>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</si>
  <si>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</si>
  <si>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</si>
  <si>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</si>
  <si>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</si>
  <si>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</si>
  <si>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</si>
  <si>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</si>
  <si>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</si>
  <si>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</si>
  <si>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</si>
  <si>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</si>
  <si>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</si>
  <si>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</si>
  <si>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</si>
  <si>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</si>
  <si>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</si>
  <si>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</si>
  <si>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</si>
  <si>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</si>
  <si>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</si>
  <si>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</si>
  <si>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</si>
  <si>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</si>
  <si>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</si>
  <si>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</si>
  <si>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</si>
  <si>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</si>
  <si>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</si>
  <si>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</si>
  <si>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</si>
  <si>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</si>
  <si>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</si>
  <si>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</si>
  <si>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</si>
  <si>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</si>
  <si>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</si>
  <si>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</si>
  <si>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</si>
  <si>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</si>
  <si>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</si>
  <si>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</si>
  <si>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</si>
  <si>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</si>
  <si>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</si>
  <si>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</si>
  <si>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</si>
  <si>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</si>
  <si>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</si>
  <si>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</si>
  <si>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</si>
  <si>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</si>
  <si>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</si>
  <si>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</si>
  <si>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</si>
  <si>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</si>
  <si>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</si>
  <si>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</si>
  <si>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</si>
  <si>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</si>
  <si>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</si>
  <si>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</si>
  <si>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</si>
  <si>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</si>
  <si>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</si>
  <si>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</si>
  <si>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</si>
  <si>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</si>
  <si>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</si>
  <si>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</si>
  <si>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</si>
  <si>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</si>
  <si>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</si>
  <si>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</si>
  <si>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</si>
  <si>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</si>
  <si>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</si>
  <si>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</si>
  <si>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</si>
  <si>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</si>
  <si>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</si>
  <si>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</si>
  <si>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</si>
  <si>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</si>
  <si>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</si>
  <si>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</si>
  <si>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</si>
  <si>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</si>
  <si>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</si>
  <si>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</si>
  <si>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</si>
  <si>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</si>
  <si>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</si>
  <si>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</si>
  <si>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</si>
  <si>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</si>
  <si>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</si>
  <si>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</si>
  <si>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</si>
  <si>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</si>
  <si>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</si>
  <si>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</si>
  <si>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</si>
  <si>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</si>
  <si>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</si>
  <si>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</si>
  <si>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</si>
  <si>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</si>
  <si>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</si>
  <si>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</si>
  <si>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</si>
  <si>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</si>
  <si>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</si>
  <si>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</si>
  <si>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</si>
  <si>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</si>
  <si>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</si>
  <si>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</si>
  <si>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</si>
  <si>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</si>
  <si>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</si>
  <si>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</si>
  <si>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</si>
  <si>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</si>
  <si>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</si>
  <si>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</si>
  <si>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</si>
  <si>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</si>
  <si>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</si>
  <si>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</si>
  <si>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</si>
  <si>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</si>
  <si>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</si>
  <si>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</si>
  <si>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</si>
  <si>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</si>
  <si>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</si>
  <si>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</si>
  <si>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</si>
  <si>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</si>
  <si>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</si>
  <si>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</si>
  <si>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</si>
  <si>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</si>
  <si>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</si>
  <si>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</si>
  <si>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</si>
  <si>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</si>
  <si>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</si>
  <si>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</si>
  <si>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</si>
  <si>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</si>
  <si>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</si>
  <si>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</si>
  <si>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</si>
  <si>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</si>
  <si>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</si>
  <si>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</si>
  <si>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</si>
  <si>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</si>
  <si>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</si>
  <si>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</si>
  <si>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</si>
  <si>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</si>
  <si>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</si>
  <si>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</si>
  <si>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</si>
  <si>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</si>
  <si>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</si>
  <si>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</si>
  <si>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</si>
  <si>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</si>
  <si>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</si>
  <si>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</si>
  <si>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</si>
  <si>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</si>
  <si>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</si>
  <si>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</si>
  <si>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</si>
  <si>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</si>
  <si>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</si>
  <si>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</si>
  <si>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</si>
  <si>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</si>
  <si>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</si>
  <si>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</si>
  <si>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</si>
  <si>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</si>
  <si>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</si>
  <si>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</si>
  <si>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</si>
  <si>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</si>
  <si>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</si>
  <si>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</si>
  <si>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</si>
  <si>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</si>
  <si>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</si>
  <si>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</si>
  <si>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</si>
  <si>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</si>
  <si>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</si>
  <si>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</si>
  <si>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</si>
  <si>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</si>
  <si>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</si>
  <si>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</si>
  <si>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</si>
  <si>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</si>
  <si>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</si>
  <si>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</si>
  <si>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</si>
  <si>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</si>
  <si>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</si>
  <si>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</si>
  <si>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</si>
  <si>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</si>
  <si>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</si>
  <si>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</si>
  <si>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</si>
  <si>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</si>
  <si>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</si>
  <si>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</si>
  <si>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</si>
  <si>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</si>
  <si>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</si>
  <si>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</si>
  <si>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</si>
  <si>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</si>
  <si>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</si>
  <si>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</si>
  <si>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</si>
  <si>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</si>
  <si>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</si>
  <si>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</si>
  <si>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</si>
  <si>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</si>
  <si>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</si>
  <si>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</si>
  <si>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</si>
  <si>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</si>
  <si>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</si>
  <si>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</si>
  <si>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</si>
  <si>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</si>
  <si>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</si>
  <si>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</si>
  <si>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</si>
  <si>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</si>
  <si>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</si>
  <si>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</si>
  <si>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</si>
  <si>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</si>
  <si>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</si>
  <si>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</si>
  <si>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</si>
  <si>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</si>
  <si>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</si>
  <si>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</si>
  <si>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</si>
  <si>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</si>
  <si>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</si>
  <si>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</si>
  <si>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</si>
  <si>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</si>
  <si>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</si>
  <si>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</si>
  <si>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</si>
  <si>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</si>
  <si>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</si>
  <si>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</si>
  <si>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</si>
  <si>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</si>
  <si>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</si>
  <si>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</si>
  <si>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</si>
  <si>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</si>
  <si>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</si>
  <si>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</si>
  <si>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</si>
  <si>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</si>
  <si>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</si>
  <si>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</si>
  <si>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</si>
  <si>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</si>
  <si>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</si>
  <si>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</si>
  <si>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</si>
  <si>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</si>
  <si>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</si>
  <si>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</si>
  <si>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</si>
  <si>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</si>
  <si>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</si>
  <si>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</si>
  <si>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</si>
  <si>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</si>
  <si>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</si>
  <si>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</si>
  <si>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</si>
  <si>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</si>
  <si>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</si>
  <si>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</si>
  <si>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</si>
  <si>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</si>
  <si>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</si>
  <si>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</si>
  <si>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</si>
  <si>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</si>
  <si>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</si>
  <si>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</si>
  <si>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</si>
  <si>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</si>
  <si>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</si>
  <si>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</si>
  <si>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</si>
  <si>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</si>
  <si>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</si>
  <si>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</si>
  <si>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</si>
  <si>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</si>
  <si>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</si>
  <si>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</si>
  <si>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</si>
  <si>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</si>
  <si>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</si>
  <si>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</si>
  <si>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</si>
  <si>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</si>
  <si>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</si>
  <si>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</si>
  <si>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</si>
  <si>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</si>
  <si>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</si>
  <si>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</si>
  <si>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</si>
  <si>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</si>
  <si>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</si>
  <si>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</si>
  <si>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</si>
  <si>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</si>
  <si>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</si>
  <si>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</si>
  <si>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</si>
  <si>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</si>
  <si>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</si>
  <si>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</si>
  <si>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</si>
  <si>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</si>
  <si>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</si>
  <si>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</si>
  <si>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</si>
  <si>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</si>
  <si>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</si>
  <si>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</si>
  <si>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</si>
  <si>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</si>
  <si>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</si>
  <si>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</si>
  <si>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</si>
  <si>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</si>
  <si>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</si>
  <si>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</si>
  <si>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</si>
  <si>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</si>
  <si>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</si>
  <si>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</si>
  <si>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</si>
  <si>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</si>
  <si>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</si>
  <si>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</si>
  <si>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</si>
  <si>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</si>
  <si>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</si>
  <si>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</si>
  <si>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</si>
  <si>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</si>
  <si>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</si>
  <si>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</si>
  <si>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</si>
  <si>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</si>
  <si>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</si>
  <si>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</si>
  <si>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</si>
  <si>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</si>
  <si>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</si>
  <si>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</si>
  <si>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</si>
  <si>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</si>
  <si>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</si>
  <si>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</si>
  <si>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</si>
  <si>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</si>
  <si>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</si>
  <si>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</si>
  <si>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</si>
  <si>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</si>
  <si>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</si>
  <si>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</si>
  <si>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</si>
  <si>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</si>
  <si>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</si>
  <si>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</si>
  <si>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</si>
  <si>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</si>
  <si>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</si>
  <si>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</si>
  <si>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</si>
  <si>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</si>
  <si>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</si>
  <si>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</si>
  <si>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</si>
  <si>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</si>
  <si>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</si>
  <si>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</si>
  <si>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</si>
  <si>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</si>
  <si>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</si>
  <si>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</si>
  <si>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</si>
  <si>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</si>
  <si>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</si>
  <si>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</si>
  <si>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</si>
  <si>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</si>
  <si>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</si>
  <si>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</si>
  <si>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</si>
  <si>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</si>
  <si>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</si>
  <si>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</si>
  <si>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</si>
  <si>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</si>
  <si>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</si>
  <si>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</si>
  <si>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</si>
  <si>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</si>
  <si>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</si>
  <si>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</si>
  <si>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</si>
  <si>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</si>
  <si>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</si>
  <si>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</si>
  <si>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</si>
  <si>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</si>
  <si>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</si>
  <si>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</si>
  <si>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</si>
  <si>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</si>
  <si>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</si>
  <si>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</si>
  <si>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</si>
  <si>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</si>
  <si>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</si>
  <si>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</si>
  <si>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</si>
  <si>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</si>
  <si>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</si>
  <si>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</si>
  <si>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</si>
  <si>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</si>
  <si>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</si>
  <si>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</si>
  <si>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</si>
  <si>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</si>
  <si>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</si>
  <si>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</si>
  <si>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</si>
  <si>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</si>
  <si>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</si>
  <si>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</si>
  <si>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</si>
  <si>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</si>
  <si>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</si>
  <si>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</si>
  <si>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</si>
  <si>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</si>
  <si>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</si>
  <si>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</si>
  <si>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</si>
  <si>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</si>
  <si>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</si>
  <si>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</si>
  <si>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</si>
  <si>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</si>
  <si>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</si>
  <si>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</si>
  <si>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</si>
  <si>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</si>
  <si>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</si>
  <si>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</si>
  <si>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</si>
  <si>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</si>
  <si>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</si>
  <si>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</si>
  <si>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</si>
  <si>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</si>
  <si>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</si>
  <si>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</si>
  <si>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</si>
  <si>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</si>
  <si>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</si>
  <si>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</si>
  <si>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</si>
  <si>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</si>
  <si>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</si>
  <si>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</si>
  <si>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</si>
  <si>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</si>
  <si>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</si>
  <si>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</si>
  <si>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</si>
  <si>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</si>
  <si>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</si>
  <si>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</si>
  <si>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</si>
  <si>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</si>
  <si>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</si>
  <si>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</si>
  <si>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</si>
  <si>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</si>
  <si>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</si>
  <si>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</si>
  <si>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</si>
  <si>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</si>
  <si>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</si>
  <si>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</si>
  <si>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</si>
  <si>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</si>
  <si>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</si>
  <si>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</si>
  <si>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</si>
  <si>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</si>
  <si>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</si>
  <si>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</si>
  <si>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</si>
  <si>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</si>
  <si>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</si>
  <si>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</si>
  <si>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</si>
  <si>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</si>
  <si>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</si>
  <si>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</si>
  <si>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</si>
  <si>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</si>
  <si>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</si>
  <si>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</si>
  <si>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</si>
  <si>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</si>
  <si>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</si>
  <si>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</si>
  <si>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</si>
  <si>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</si>
  <si>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</si>
  <si>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</si>
  <si>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</si>
  <si>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</si>
  <si>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</si>
  <si>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</si>
  <si>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</si>
  <si>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</si>
  <si>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</si>
  <si>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</si>
  <si>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</si>
  <si>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</si>
  <si>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</si>
  <si>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</si>
  <si>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</si>
  <si>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</si>
  <si>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</si>
  <si>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</si>
  <si>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</si>
  <si>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</si>
  <si>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</si>
  <si>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</si>
  <si>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</si>
  <si>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</si>
  <si>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</si>
  <si>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</si>
  <si>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</si>
  <si>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</si>
  <si>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</si>
  <si>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</si>
  <si>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</si>
  <si>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</si>
  <si>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</si>
  <si>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</si>
  <si>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</si>
  <si>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</si>
  <si>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</si>
  <si>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</si>
  <si>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</si>
  <si>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</si>
  <si>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</si>
  <si>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</si>
  <si>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</si>
  <si>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</si>
  <si>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</si>
  <si>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</si>
  <si>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</si>
  <si>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</si>
  <si>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</si>
  <si>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</si>
  <si>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</si>
  <si>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</si>
  <si>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</si>
  <si>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</si>
  <si>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</si>
  <si>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</si>
  <si>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</si>
  <si>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</si>
  <si>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</si>
  <si>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</si>
  <si>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</si>
  <si>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</si>
  <si>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</si>
  <si>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</si>
  <si>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</si>
  <si>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</si>
  <si>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</si>
  <si>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</si>
  <si>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</si>
  <si>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</si>
  <si>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</si>
  <si>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</si>
  <si>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</si>
  <si>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</si>
  <si>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</si>
  <si>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</si>
  <si>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</si>
  <si>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</si>
  <si>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</si>
  <si>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</si>
  <si>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</si>
  <si>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</si>
  <si>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</si>
  <si>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</si>
  <si>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</si>
  <si>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</si>
  <si>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</si>
  <si>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</si>
  <si>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</si>
  <si>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</si>
  <si>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</si>
  <si>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</si>
  <si>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</si>
  <si>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</si>
  <si>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</si>
  <si>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</si>
  <si>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</si>
  <si>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</si>
  <si>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</si>
  <si>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</si>
  <si>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</si>
  <si>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</si>
  <si>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</si>
  <si>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</si>
  <si>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</si>
  <si>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</si>
  <si>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</si>
  <si>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</si>
  <si>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</si>
  <si>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</si>
  <si>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</si>
  <si>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</si>
  <si>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</si>
  <si>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</si>
  <si>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</si>
  <si>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</si>
  <si>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</si>
  <si>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</si>
  <si>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</si>
  <si>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</si>
  <si>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</si>
  <si>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</si>
  <si>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</si>
  <si>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</si>
  <si>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</si>
  <si>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</si>
  <si>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</si>
  <si>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</si>
  <si>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</si>
  <si>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</si>
  <si>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</si>
  <si>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</si>
  <si>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</si>
  <si>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</si>
  <si>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</si>
  <si>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</si>
  <si>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</si>
  <si>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</si>
  <si>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</si>
  <si>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</si>
  <si>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</si>
  <si>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</si>
  <si>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</si>
  <si>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</si>
  <si>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</si>
  <si>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</si>
  <si>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</si>
  <si>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</si>
  <si>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</si>
  <si>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</si>
  <si>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</si>
  <si>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</si>
  <si>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</si>
  <si>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</si>
  <si>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</si>
  <si>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</si>
  <si>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</si>
  <si>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</si>
  <si>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</si>
  <si>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</si>
  <si>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</si>
  <si>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</si>
  <si>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</si>
  <si>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</si>
  <si>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</si>
  <si>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</si>
  <si>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</si>
  <si>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</si>
  <si>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</si>
  <si>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</si>
  <si>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</si>
  <si>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</si>
  <si>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</si>
  <si>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</si>
  <si>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</si>
  <si>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</si>
  <si>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</si>
  <si>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</si>
  <si>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</si>
  <si>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</si>
  <si>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</si>
  <si>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</si>
  <si>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</si>
  <si>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</si>
  <si>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</si>
  <si>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</si>
  <si>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</si>
  <si>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</si>
  <si>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</si>
  <si>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</si>
  <si>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</si>
  <si>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</si>
  <si>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</si>
  <si>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</si>
  <si>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</si>
  <si>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</si>
  <si>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</si>
  <si>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</si>
  <si>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</si>
  <si>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</si>
  <si>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</si>
  <si>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</si>
  <si>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</si>
  <si>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</si>
  <si>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</si>
  <si>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</si>
  <si>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</si>
  <si>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</si>
  <si>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</si>
  <si>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</si>
  <si>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</si>
  <si>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</si>
  <si>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</si>
  <si>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</si>
  <si>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</si>
  <si>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</si>
  <si>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</si>
  <si>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</si>
  <si>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</si>
  <si>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</si>
  <si>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</si>
  <si>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</si>
  <si>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</si>
  <si>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</si>
  <si>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</si>
  <si>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</si>
  <si>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</si>
  <si>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</si>
  <si>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</si>
  <si>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</si>
  <si>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</si>
  <si>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</si>
  <si>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</si>
  <si>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</si>
  <si>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</si>
  <si>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</si>
  <si>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</si>
  <si>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</si>
  <si>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</si>
  <si>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</si>
  <si>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</si>
  <si>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</si>
  <si>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</si>
  <si>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</si>
  <si>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</si>
  <si>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</si>
  <si>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</si>
  <si>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</si>
  <si>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</si>
  <si>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</si>
  <si>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</si>
  <si>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</si>
  <si>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</si>
  <si>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</si>
  <si>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</si>
  <si>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</si>
  <si>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</si>
  <si>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</si>
  <si>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</si>
  <si>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</si>
  <si>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</si>
  <si>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</si>
  <si>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</si>
  <si>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</si>
  <si>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</si>
  <si>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</si>
  <si>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</si>
  <si>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</si>
  <si>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</si>
  <si>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</si>
  <si>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</si>
  <si>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</si>
  <si>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</si>
  <si>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</si>
  <si>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</si>
  <si>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</si>
  <si>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</si>
  <si>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</si>
  <si>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</si>
  <si>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</si>
  <si>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</si>
  <si>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</si>
  <si>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</si>
  <si>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</si>
  <si>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</si>
  <si>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</si>
  <si>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</si>
  <si>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</si>
  <si>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</si>
  <si>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</si>
  <si>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</si>
  <si>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</si>
  <si>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</si>
  <si>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</si>
  <si>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</si>
  <si>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</si>
  <si>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</si>
  <si>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</si>
  <si>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</si>
  <si>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</si>
  <si>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</si>
  <si>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</si>
  <si>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</si>
  <si>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</si>
  <si>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</si>
  <si>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</si>
  <si>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</si>
  <si>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</si>
  <si>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</si>
  <si>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</si>
  <si>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</si>
  <si>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</si>
  <si>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</si>
  <si>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</si>
  <si>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</si>
  <si>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</si>
  <si>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</si>
  <si>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</si>
  <si>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</si>
  <si>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</si>
  <si>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</si>
  <si>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</si>
  <si>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</si>
  <si>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</si>
  <si>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</si>
  <si>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</si>
  <si>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</si>
  <si>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</si>
  <si>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</si>
  <si>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</si>
  <si>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</si>
  <si>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</si>
  <si>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</si>
  <si>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</si>
  <si>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</si>
  <si>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</si>
  <si>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</si>
  <si>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</si>
  <si>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</si>
  <si>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</si>
  <si>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</si>
  <si>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</si>
  <si>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</si>
  <si>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</si>
  <si>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</si>
  <si>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</si>
  <si>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</si>
  <si>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</si>
  <si>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</si>
  <si>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</si>
  <si>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</si>
  <si>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</si>
  <si>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</si>
  <si>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</si>
  <si>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</si>
  <si>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</si>
  <si>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</si>
  <si>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</si>
  <si>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</si>
  <si>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</si>
  <si>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</si>
  <si>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</si>
  <si>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</si>
  <si>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</si>
  <si>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</si>
  <si>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</si>
  <si>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</si>
  <si>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</si>
  <si>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</si>
  <si>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</si>
  <si>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</si>
  <si>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</si>
  <si>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</si>
  <si>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</si>
  <si>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</si>
  <si>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</si>
  <si>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</si>
  <si>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</si>
  <si>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</si>
  <si>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</si>
  <si>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</si>
  <si>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</si>
  <si>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</si>
  <si>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</si>
  <si>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</si>
  <si>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</si>
  <si>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</si>
  <si>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</si>
  <si>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</si>
  <si>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</si>
  <si>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</si>
  <si>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</si>
  <si>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</si>
  <si>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</si>
  <si>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</si>
  <si>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</si>
  <si>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</si>
  <si>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</si>
  <si>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</si>
  <si>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</si>
  <si>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</si>
  <si>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</si>
  <si>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</si>
  <si>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</si>
  <si>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</si>
  <si>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</si>
  <si>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</si>
  <si>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</si>
  <si>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</si>
  <si>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</si>
  <si>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</si>
  <si>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</si>
  <si>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</si>
  <si>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</si>
  <si>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</si>
  <si>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</si>
  <si>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</si>
  <si>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</si>
  <si>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</si>
  <si>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</si>
  <si>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</si>
  <si>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</si>
  <si>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</si>
  <si>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</si>
  <si>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</si>
  <si>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</si>
  <si>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</si>
  <si>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</si>
  <si>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</si>
  <si>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</si>
  <si>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</si>
  <si>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</si>
  <si>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</si>
  <si>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</si>
  <si>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</si>
  <si>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</si>
  <si>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</si>
  <si>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</si>
  <si>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</si>
  <si>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</si>
  <si>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</si>
  <si>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</si>
  <si>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</si>
  <si>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</si>
  <si>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</si>
  <si>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</si>
  <si>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</si>
  <si>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</si>
  <si>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</si>
  <si>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</si>
  <si>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</si>
  <si>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</si>
  <si>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</si>
  <si>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</si>
  <si>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</si>
  <si>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</si>
  <si>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</si>
  <si>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</si>
  <si>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</si>
  <si>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</si>
  <si>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</si>
  <si>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</si>
  <si>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</si>
  <si>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</si>
  <si>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</si>
  <si>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</si>
  <si>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</si>
  <si>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</si>
  <si>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</si>
  <si>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</si>
  <si>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</si>
  <si>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</si>
  <si>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</si>
  <si>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</si>
  <si>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</si>
  <si>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</si>
  <si>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</si>
  <si>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</si>
  <si>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</si>
  <si>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</si>
  <si>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</si>
  <si>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</si>
  <si>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</si>
  <si>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</si>
  <si>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</si>
  <si>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</si>
  <si>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</si>
  <si>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</si>
  <si>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</si>
  <si>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</si>
  <si>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</si>
  <si>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</si>
  <si>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</si>
  <si>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</si>
  <si>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</si>
  <si>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</si>
  <si>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</si>
  <si>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</si>
  <si>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</si>
  <si>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</si>
  <si>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</si>
  <si>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</si>
  <si>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</si>
  <si>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</si>
  <si>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</si>
  <si>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</si>
  <si>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</si>
  <si>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</si>
  <si>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</si>
  <si>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</si>
  <si>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</si>
  <si>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</si>
  <si>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</si>
  <si>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</si>
  <si>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</si>
  <si>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</si>
  <si>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</si>
  <si>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</si>
  <si>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</si>
  <si>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</si>
  <si>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</si>
  <si>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</si>
  <si>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</si>
  <si>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</si>
  <si>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</si>
  <si>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</si>
  <si>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</si>
  <si>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</si>
  <si>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</si>
  <si>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</si>
  <si>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</si>
  <si>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</si>
  <si>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</si>
  <si>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</si>
  <si>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</si>
  <si>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</si>
  <si>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</si>
  <si>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</si>
  <si>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</si>
  <si>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</si>
  <si>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</si>
  <si>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</si>
  <si>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</si>
  <si>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</si>
  <si>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</si>
  <si>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</si>
  <si>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</si>
  <si>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</si>
  <si>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</si>
  <si>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</si>
  <si>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</si>
  <si>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</si>
  <si>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</si>
  <si>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</si>
  <si>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</si>
  <si>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</si>
  <si>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</si>
  <si>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</si>
  <si>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</si>
  <si>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</si>
  <si>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</si>
  <si>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</si>
  <si>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</si>
  <si>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</si>
  <si>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</si>
  <si>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</si>
  <si>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</si>
  <si>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</si>
  <si>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</si>
  <si>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</si>
  <si>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</si>
  <si>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</si>
  <si>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</si>
  <si>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</si>
  <si>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</si>
  <si>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</si>
  <si>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</si>
  <si>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</si>
  <si>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</si>
  <si>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</si>
  <si>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</si>
  <si>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</si>
  <si>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</si>
  <si>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</si>
  <si>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</si>
  <si>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</si>
  <si>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</si>
  <si>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</si>
  <si>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</si>
  <si>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</si>
  <si>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</si>
  <si>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</si>
  <si>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</si>
  <si>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</si>
  <si>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</si>
  <si>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</si>
  <si>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</si>
  <si>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</si>
  <si>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</si>
  <si>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</si>
  <si>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</si>
  <si>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</si>
  <si>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</si>
  <si>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</si>
  <si>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</si>
  <si>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</si>
  <si>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</si>
  <si>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</si>
  <si>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</si>
  <si>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</si>
  <si>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</si>
  <si>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</si>
  <si>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</si>
  <si>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</si>
  <si>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</si>
  <si>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</si>
  <si>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</si>
  <si>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</si>
  <si>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</si>
  <si>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</si>
  <si>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</si>
  <si>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</si>
  <si>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</si>
  <si>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</si>
  <si>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</si>
  <si>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</si>
  <si>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</si>
  <si>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</si>
  <si>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</si>
  <si>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</si>
  <si>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</si>
  <si>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</si>
  <si>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</si>
  <si>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</si>
  <si>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</si>
  <si>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</si>
  <si>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</si>
  <si>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</si>
  <si>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</si>
  <si>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</si>
  <si>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</si>
  <si>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</si>
  <si>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</si>
  <si>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</si>
  <si>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</si>
  <si>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</si>
  <si>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</si>
  <si>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</si>
  <si>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</si>
  <si>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</si>
  <si>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</si>
  <si>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</si>
  <si>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</si>
  <si>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</si>
  <si>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</si>
  <si>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</si>
  <si>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</si>
  <si>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</si>
  <si>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</si>
  <si>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</si>
  <si>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</si>
  <si>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</si>
  <si>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</si>
  <si>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</si>
  <si>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</si>
  <si>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</si>
  <si>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</si>
  <si>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</si>
  <si>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</si>
  <si>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</si>
  <si>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</si>
  <si>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</si>
  <si>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</si>
  <si>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</si>
  <si>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</si>
  <si>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</si>
  <si>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</si>
  <si>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</si>
  <si>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</si>
  <si>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</si>
  <si>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</si>
  <si>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</si>
  <si>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</si>
  <si>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</si>
  <si>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</si>
  <si>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</si>
  <si>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</si>
  <si>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</si>
  <si>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</si>
  <si>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</si>
  <si>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</si>
  <si>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</si>
  <si>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</si>
  <si>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</si>
  <si>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</si>
  <si>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</si>
  <si>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</si>
  <si>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</si>
  <si>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</si>
  <si>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</si>
  <si>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</si>
  <si>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</si>
  <si>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</si>
  <si>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</si>
  <si>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</si>
  <si>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</si>
  <si>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</si>
  <si>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</si>
  <si>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</si>
  <si>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</si>
  <si>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</si>
  <si>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</si>
  <si>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</si>
  <si>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</si>
  <si>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</si>
  <si>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</si>
  <si>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</si>
  <si>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</si>
  <si>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</si>
  <si>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</si>
  <si>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</si>
  <si>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</si>
  <si>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</si>
  <si>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</si>
  <si>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</si>
  <si>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</si>
  <si>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</si>
  <si>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</si>
  <si>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</si>
  <si>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</si>
  <si>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</si>
  <si>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</si>
  <si>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</si>
  <si>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</si>
  <si>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</si>
  <si>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</si>
  <si>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</si>
  <si>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</si>
  <si>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</si>
  <si>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</si>
  <si>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</si>
  <si>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</si>
  <si>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</si>
  <si>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</si>
  <si>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</si>
  <si>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</si>
  <si>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</si>
  <si>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</si>
  <si>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</si>
  <si>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</si>
  <si>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</si>
  <si>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</si>
  <si>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</si>
  <si>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</si>
  <si>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</si>
  <si>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</si>
  <si>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</si>
  <si>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</si>
  <si>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</si>
  <si>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</si>
  <si>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</si>
  <si>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</si>
  <si>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</si>
  <si>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</si>
  <si>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</si>
  <si>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</si>
  <si>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</si>
  <si>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</si>
  <si>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</si>
  <si>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</si>
  <si>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</si>
  <si>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</si>
  <si>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</si>
  <si>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</si>
  <si>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</si>
  <si>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</si>
  <si>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</si>
  <si>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</si>
  <si>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</si>
  <si>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</si>
  <si>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</si>
  <si>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</si>
  <si>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</si>
  <si>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</si>
  <si>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</si>
  <si>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</si>
  <si>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</si>
  <si>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</si>
  <si>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</si>
  <si>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</si>
  <si>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</si>
  <si>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</si>
  <si>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</si>
  <si>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</si>
  <si>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</si>
  <si>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</si>
  <si>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</si>
  <si>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</si>
  <si>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</si>
  <si>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</si>
  <si>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</si>
  <si>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</si>
  <si>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</si>
  <si>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</si>
  <si>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</si>
  <si>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</si>
  <si>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</si>
  <si>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</si>
  <si>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</si>
  <si>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</si>
  <si>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</si>
  <si>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</si>
  <si>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</si>
  <si>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</si>
  <si>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</si>
  <si>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</si>
  <si>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</si>
  <si>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</si>
  <si>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</si>
  <si>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</si>
  <si>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</si>
  <si>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</si>
  <si>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</si>
  <si>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</si>
  <si>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</si>
  <si>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</si>
  <si>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</si>
  <si>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</si>
  <si>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</si>
  <si>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</si>
  <si>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</si>
  <si>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</si>
  <si>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</si>
  <si>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</si>
  <si>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</si>
  <si>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</si>
  <si>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</si>
  <si>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</si>
  <si>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</si>
  <si>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</si>
  <si>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</si>
  <si>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</si>
  <si>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</si>
  <si>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</si>
  <si>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</si>
  <si>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</si>
  <si>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</si>
  <si>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</si>
  <si>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</si>
  <si>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</si>
  <si>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</si>
  <si>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</si>
  <si>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</si>
  <si>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</si>
  <si>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</si>
  <si>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</si>
  <si>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</si>
  <si>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</si>
  <si>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</si>
  <si>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</si>
  <si>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</si>
  <si>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</si>
  <si>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</si>
  <si>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</si>
  <si>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</si>
  <si>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</si>
  <si>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</si>
  <si>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</si>
  <si>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</si>
  <si>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</si>
  <si>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</si>
  <si>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</si>
  <si>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</si>
  <si>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</si>
  <si>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</si>
  <si>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</si>
  <si>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</si>
  <si>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</si>
  <si>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</si>
  <si>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</si>
  <si>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</si>
  <si>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</si>
  <si>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</si>
  <si>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</si>
  <si>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</si>
  <si>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</si>
  <si>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</si>
  <si>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</si>
  <si>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</si>
  <si>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</si>
  <si>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</si>
  <si>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</si>
  <si>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</si>
  <si>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</si>
  <si>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</si>
  <si>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</si>
  <si>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</si>
  <si>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</si>
  <si>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</si>
  <si>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</si>
  <si>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</si>
  <si>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</si>
  <si>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</si>
  <si>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</si>
  <si>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</si>
  <si>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</si>
  <si>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</si>
  <si>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</si>
  <si>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</si>
  <si>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</si>
  <si>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</si>
  <si>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</si>
  <si>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</si>
  <si>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</si>
  <si>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</si>
  <si>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</si>
  <si>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</si>
  <si>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</si>
  <si>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</si>
  <si>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</si>
  <si>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</si>
  <si>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</si>
  <si>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</si>
  <si>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</si>
  <si>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</si>
  <si>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</si>
  <si>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</si>
  <si>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</si>
  <si>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</si>
  <si>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</si>
  <si>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</si>
  <si>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</si>
  <si>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</si>
  <si>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</si>
  <si>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</si>
  <si>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</si>
  <si>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</si>
  <si>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</si>
  <si>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</si>
  <si>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</si>
  <si>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</si>
  <si>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</si>
  <si>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</si>
  <si>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</si>
  <si>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</si>
  <si>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</si>
  <si>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</si>
  <si>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</si>
  <si>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</si>
  <si>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</si>
  <si>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</si>
  <si>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</si>
  <si>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</si>
  <si>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</si>
  <si>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</si>
  <si>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</si>
  <si>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</si>
  <si>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</si>
  <si>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</si>
  <si>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</si>
  <si>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</si>
  <si>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</si>
  <si>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</si>
  <si>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</si>
  <si>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</si>
  <si>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</si>
  <si>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</si>
  <si>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</si>
  <si>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</si>
  <si>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</si>
  <si>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</si>
  <si>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</si>
  <si>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</si>
  <si>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</si>
  <si>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</si>
  <si>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</si>
  <si>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</si>
  <si>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</si>
  <si>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</si>
  <si>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</si>
  <si>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</si>
  <si>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</si>
  <si>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</si>
  <si>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</si>
  <si>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</si>
  <si>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</si>
  <si>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</si>
  <si>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</si>
  <si>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</si>
  <si>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</si>
  <si>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</si>
  <si>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</si>
  <si>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</si>
  <si>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</si>
  <si>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</si>
  <si>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</si>
  <si>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</si>
  <si>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</si>
  <si>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</si>
  <si>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</si>
  <si>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</si>
  <si>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</si>
  <si>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</si>
  <si>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</si>
  <si>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</si>
  <si>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</si>
  <si>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</si>
  <si>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</si>
  <si>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</si>
  <si>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</si>
  <si>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</si>
  <si>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</si>
  <si>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</si>
  <si>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</si>
  <si>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</si>
  <si>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</si>
  <si>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</si>
  <si>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</si>
  <si>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</si>
  <si>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</si>
  <si>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</si>
  <si>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</si>
  <si>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</si>
  <si>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</si>
  <si>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</si>
  <si>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</si>
  <si>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</si>
  <si>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</si>
  <si>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</si>
  <si>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</si>
  <si>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</si>
  <si>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</si>
  <si>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</si>
  <si>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</si>
  <si>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</si>
  <si>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</si>
  <si>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</si>
  <si>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</si>
  <si>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</si>
  <si>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</si>
  <si>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</si>
  <si>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</si>
  <si>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</si>
  <si>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</si>
  <si>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</si>
  <si>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</si>
  <si>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</si>
  <si>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</si>
  <si>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</si>
  <si>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</si>
  <si>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</si>
  <si>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</si>
  <si>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</si>
  <si>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</si>
  <si>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</si>
  <si>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</si>
  <si>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</si>
  <si>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</si>
  <si>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</si>
  <si>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</si>
  <si>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</si>
  <si>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</si>
  <si>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</si>
  <si>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</si>
  <si>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</si>
  <si>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</si>
  <si>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</si>
  <si>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</si>
  <si>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</si>
  <si>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</si>
  <si>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</si>
  <si>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</si>
  <si>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</si>
  <si>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</si>
  <si>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</si>
  <si>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</si>
  <si>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</si>
  <si>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</si>
  <si>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</si>
  <si>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</si>
  <si>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</si>
  <si>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</si>
  <si>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</si>
  <si>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</si>
  <si>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</si>
  <si>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</si>
  <si>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</si>
  <si>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</si>
  <si>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</si>
  <si>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</si>
  <si>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</si>
  <si>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</si>
  <si>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</si>
  <si>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</si>
  <si>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</si>
  <si>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</si>
  <si>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</si>
  <si>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</si>
  <si>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</si>
  <si>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</si>
  <si>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</si>
  <si>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</si>
  <si>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</si>
  <si>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</si>
  <si>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</si>
  <si>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</si>
  <si>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</si>
  <si>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</si>
  <si>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</si>
  <si>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</si>
  <si>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</si>
  <si>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</si>
  <si>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</si>
  <si>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</si>
  <si>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</si>
  <si>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</si>
  <si>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</si>
  <si>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</si>
  <si>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</si>
  <si>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</si>
  <si>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</si>
  <si>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</si>
  <si>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</si>
  <si>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</si>
  <si>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</si>
  <si>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</si>
  <si>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</si>
  <si>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</si>
  <si>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</si>
  <si>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</si>
  <si>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</si>
  <si>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</si>
  <si>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</si>
  <si>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</si>
  <si>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</si>
  <si>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</si>
  <si>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</si>
  <si>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</si>
  <si>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</si>
  <si>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</si>
  <si>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</si>
  <si>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</si>
  <si>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</si>
  <si>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</si>
  <si>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</si>
  <si>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</si>
  <si>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</si>
  <si>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</si>
  <si>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</si>
  <si>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</si>
  <si>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</si>
  <si>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</si>
  <si>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</si>
  <si>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</si>
  <si>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</si>
  <si>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</si>
  <si>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</si>
  <si>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</si>
  <si>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</si>
  <si>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</si>
  <si>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</si>
  <si>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</si>
  <si>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</si>
  <si>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</si>
  <si>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</si>
  <si>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</si>
  <si>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</si>
  <si>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</si>
  <si>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</si>
  <si>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</si>
  <si>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</si>
  <si>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</si>
  <si>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</si>
  <si>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</si>
  <si>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</si>
  <si>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</si>
  <si>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</si>
  <si>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</si>
  <si>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</si>
  <si>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</si>
  <si>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</si>
  <si>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</si>
  <si>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</si>
  <si>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</si>
  <si>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</si>
  <si>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</si>
  <si>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</si>
  <si>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</si>
  <si>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</si>
  <si>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</si>
  <si>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</si>
  <si>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</si>
  <si>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</si>
  <si>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</si>
  <si>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</si>
  <si>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</si>
  <si>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</si>
  <si>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</si>
  <si>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</si>
  <si>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</si>
  <si>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</si>
  <si>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</si>
  <si>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</si>
  <si>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</si>
  <si>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</si>
  <si>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</si>
  <si>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</si>
  <si>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</si>
  <si>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</si>
  <si>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</si>
  <si>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</si>
  <si>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</si>
  <si>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</si>
  <si>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</si>
  <si>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</si>
  <si>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</si>
  <si>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</si>
  <si>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</si>
  <si>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</si>
  <si>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</si>
  <si>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</si>
  <si>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</si>
  <si>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</si>
  <si>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</si>
  <si>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</si>
  <si>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</si>
  <si>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</si>
  <si>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</si>
  <si>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</si>
  <si>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</si>
  <si>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</si>
  <si>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</si>
  <si>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</si>
  <si>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</si>
  <si>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</si>
  <si>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</si>
  <si>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</si>
  <si>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</si>
  <si>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</si>
  <si>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</si>
  <si>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</si>
  <si>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</si>
  <si>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</si>
  <si>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</si>
  <si>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</si>
  <si>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</si>
  <si>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</si>
  <si>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</si>
  <si>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</si>
  <si>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</si>
  <si>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</si>
  <si>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</si>
  <si>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</si>
  <si>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</si>
  <si>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</si>
  <si>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</si>
  <si>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</si>
  <si>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</si>
  <si>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</si>
  <si>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</si>
  <si>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</si>
  <si>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</si>
  <si>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</si>
  <si>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</si>
  <si>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</si>
  <si>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</si>
  <si>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</si>
  <si>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</si>
  <si>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</si>
  <si>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</si>
  <si>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</si>
  <si>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</si>
  <si>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</si>
  <si>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</si>
  <si>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</si>
  <si>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</si>
  <si>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</si>
  <si>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</si>
  <si>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</si>
  <si>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</si>
  <si>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</si>
  <si>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</si>
  <si>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</si>
  <si>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</si>
  <si>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</si>
  <si>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</si>
  <si>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</si>
  <si>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</si>
  <si>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</si>
  <si>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</si>
  <si>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</si>
  <si>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</si>
  <si>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</si>
  <si>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</si>
  <si>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</si>
  <si>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</si>
  <si>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</si>
  <si>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</si>
  <si>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</si>
  <si>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</si>
  <si>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</si>
  <si>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</si>
  <si>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</si>
  <si>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</si>
  <si>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</si>
  <si>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</si>
  <si>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</si>
  <si>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</si>
  <si>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</si>
  <si>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</si>
  <si>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</si>
  <si>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</si>
  <si>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</si>
  <si>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</si>
  <si>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</si>
  <si>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</si>
  <si>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</si>
  <si>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</si>
  <si>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</si>
  <si>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</si>
  <si>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</si>
  <si>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</si>
  <si>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</si>
  <si>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</si>
  <si>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</si>
  <si>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</si>
  <si>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</si>
  <si>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</si>
  <si>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</si>
  <si>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</si>
  <si>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</si>
  <si>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</si>
  <si>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</si>
  <si>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</si>
  <si>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</si>
  <si>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</si>
  <si>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</si>
  <si>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</si>
  <si>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</si>
  <si>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</si>
  <si>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</si>
  <si>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</si>
  <si>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</si>
  <si>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</si>
  <si>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</si>
  <si>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</si>
  <si>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</si>
  <si>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</si>
  <si>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</si>
  <si>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</si>
  <si>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</si>
  <si>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</si>
  <si>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</si>
  <si>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</si>
  <si>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</si>
  <si>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</si>
  <si>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</si>
  <si>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</si>
  <si>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</si>
  <si>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</si>
  <si>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</si>
  <si>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</si>
  <si>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</si>
  <si>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</si>
  <si>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</si>
  <si>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</si>
  <si>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</si>
  <si>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</si>
  <si>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</si>
  <si>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</si>
  <si>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</si>
  <si>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</si>
  <si>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</si>
  <si>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</si>
  <si>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</si>
  <si>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</si>
  <si>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</si>
  <si>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</si>
  <si>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</si>
  <si>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</si>
  <si>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</si>
  <si>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</si>
  <si>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</si>
  <si>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</si>
  <si>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</si>
  <si>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</si>
  <si>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</si>
  <si>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</si>
  <si>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</si>
  <si>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</si>
  <si>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</si>
  <si>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</si>
  <si>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</si>
  <si>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</si>
  <si>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</si>
  <si>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</si>
  <si>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</si>
  <si>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</si>
  <si>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</si>
  <si>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</si>
  <si>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</si>
  <si>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</si>
  <si>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</si>
  <si>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</si>
  <si>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</si>
  <si>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</si>
  <si>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</si>
  <si>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</si>
  <si>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</si>
  <si>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</si>
  <si>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</si>
  <si>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</si>
  <si>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BeNeLux Day</t>
  </si>
  <si>
    <t>SnowFROC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</si>
  <si>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</si>
  <si>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</si>
  <si>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</si>
  <si>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</si>
  <si>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</si>
  <si>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</si>
  <si>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</si>
  <si>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Expense:Dublin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</si>
  <si>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</si>
  <si>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</si>
  <si>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</si>
  <si>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</si>
  <si>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</si>
  <si>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</si>
  <si>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</si>
  <si>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</si>
  <si>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</si>
  <si>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Torq</t>
  </si>
  <si>
    <t>intive GmbH</t>
  </si>
  <si>
    <t>DataDog</t>
  </si>
  <si>
    <t>Cycode</t>
  </si>
  <si>
    <t>Comptroller of Public Accounts</t>
  </si>
  <si>
    <t>% Change</t>
  </si>
  <si>
    <t>$ Change</t>
  </si>
  <si>
    <t>Taxback International</t>
  </si>
  <si>
    <t>Paul Beckett - Expenses</t>
  </si>
  <si>
    <t>Manuel Leos Rivas</t>
  </si>
  <si>
    <t>Daniel Macs - Expenses</t>
  </si>
  <si>
    <t>Christoph Hansen - Expenses</t>
  </si>
  <si>
    <t>Andrew Howe - Expenses</t>
  </si>
  <si>
    <t>Zinad</t>
  </si>
  <si>
    <t>RHEA GROUP</t>
  </si>
  <si>
    <t>Centurion Information Security Pte Ltd</t>
  </si>
  <si>
    <t>Bionic</t>
  </si>
  <si>
    <t>Akeero</t>
  </si>
  <si>
    <t>US P&amp;L Year over Year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</si>
  <si>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</si>
  <si>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</si>
  <si>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</si>
  <si>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</si>
  <si>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</si>
  <si>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</si>
  <si>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</si>
  <si>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</si>
  <si>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</si>
  <si>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</si>
  <si>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</si>
  <si>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</si>
  <si>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</si>
  <si>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</si>
  <si>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</si>
  <si>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</si>
  <si>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</si>
  <si>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</si>
  <si>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</si>
  <si>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</si>
  <si>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</si>
  <si>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</si>
  <si>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</si>
  <si>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</si>
  <si>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</si>
  <si>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</si>
  <si>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</si>
  <si>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</si>
  <si>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</si>
  <si>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</si>
  <si>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</si>
  <si>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</si>
  <si>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</si>
  <si>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</si>
  <si>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</si>
  <si>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</si>
  <si>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</si>
  <si>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</si>
  <si>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</si>
  <si>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</si>
  <si>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</si>
  <si>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</si>
  <si>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</si>
  <si>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</si>
  <si>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</si>
  <si>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</si>
  <si>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</si>
  <si>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</si>
  <si>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</si>
  <si>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</si>
  <si>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</si>
  <si>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</si>
  <si>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</si>
  <si>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</si>
  <si>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</si>
  <si>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</si>
  <si>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</si>
  <si>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Jan 2022</t>
  </si>
  <si>
    <t>as of  2.17.22</t>
  </si>
  <si>
    <t>Deferred Revenue - Other</t>
  </si>
  <si>
    <t>Jan 31, 21</t>
  </si>
  <si>
    <t>Jan 31, 22</t>
  </si>
  <si>
    <t>Corporate - Chapter/Project</t>
  </si>
  <si>
    <t>Jan 22</t>
  </si>
  <si>
    <t>Jan 21</t>
  </si>
  <si>
    <t>Event</t>
  </si>
  <si>
    <t xml:space="preserve">Balance sheet Year over Year  Jan 22  US Only </t>
  </si>
  <si>
    <t>US  P&amp;L Jan 22</t>
  </si>
  <si>
    <t>YTD US P&amp;L Jan 22</t>
  </si>
  <si>
    <t>Jan 22 Board Summary</t>
  </si>
  <si>
    <t xml:space="preserve">FY 22 Bud APPROVED </t>
  </si>
  <si>
    <t>Enso Security</t>
  </si>
  <si>
    <t>John Vargas.</t>
  </si>
  <si>
    <t>Pentest-Tools.com</t>
  </si>
  <si>
    <t>Protergo</t>
  </si>
  <si>
    <t>Twilio Inc.</t>
  </si>
  <si>
    <t>RMK Productions, LLC</t>
  </si>
  <si>
    <t>Hopin US Inc</t>
  </si>
  <si>
    <t>Christian Folini - Vendor</t>
  </si>
  <si>
    <t>Bankim Tejani</t>
  </si>
  <si>
    <t>Combined YTD</t>
  </si>
  <si>
    <t>US-EU</t>
  </si>
  <si>
    <t>YTD US-EU</t>
  </si>
  <si>
    <t>FY22 Bud</t>
  </si>
  <si>
    <t>FY 22 YTD Bud</t>
  </si>
  <si>
    <t xml:space="preserve">General &amp; Administrative/Professional </t>
  </si>
  <si>
    <t>Accrued Liabilities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</si>
</sst>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9" formatCode="#,##0.0#%;\-#,##0.0#%"/>
  </numFmts>
  <fonts count="29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</cellStyleXfs>
  <cellXfs count="152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9" fontId="3" fillId="0" borderId="5" xfId="0" applyNumberFormat="1" applyFont="1" applyBorder="1"/>
    <xf numFmtId="169" fontId="4" fillId="0" borderId="4" xfId="0" applyNumberFormat="1" applyFont="1" applyBorder="1"/>
    <xf numFmtId="169" fontId="4" fillId="0" borderId="0" xfId="0" applyNumberFormat="1" applyFont="1"/>
    <xf numFmtId="169" fontId="4" fillId="0" borderId="3" xfId="0" applyNumberFormat="1" applyFont="1" applyBorder="1"/>
    <xf numFmtId="169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</cellXfs>
  <cellStyles count="5">
    <cellStyle name="Bad" xfId="2" builtinId="27"/>
    <cellStyle name="Good" xfId="1" builtinId="26"/>
    <cellStyle name="Hyperlink" xfId="3" builtinId="8"/>
    <cellStyle name="Neutral" xfId="4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2.emf"/><Relationship Id="rId5" Type="http://schemas.openxmlformats.org/officeDocument/2006/relationships/image" Target="../media/image3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.emf"/><Relationship Id="rId3" Type="http://schemas.openxmlformats.org/officeDocument/2006/relationships/image" Target="../media/image43.emf"/><Relationship Id="rId7" Type="http://schemas.openxmlformats.org/officeDocument/2006/relationships/image" Target="../media/image46.emf"/><Relationship Id="rId2" Type="http://schemas.openxmlformats.org/officeDocument/2006/relationships/image" Target="../media/image45.emf"/><Relationship Id="rId1" Type="http://schemas.openxmlformats.org/officeDocument/2006/relationships/image" Target="../media/image44.emf"/><Relationship Id="rId6" Type="http://schemas.openxmlformats.org/officeDocument/2006/relationships/image" Target="../media/image40.emf"/><Relationship Id="rId5" Type="http://schemas.openxmlformats.org/officeDocument/2006/relationships/image" Target="../media/image41.emf"/><Relationship Id="rId10" Type="http://schemas.openxmlformats.org/officeDocument/2006/relationships/image" Target="../media/image49.emf"/><Relationship Id="rId4" Type="http://schemas.openxmlformats.org/officeDocument/2006/relationships/image" Target="../media/image42.emf"/><Relationship Id="rId9" Type="http://schemas.openxmlformats.org/officeDocument/2006/relationships/image" Target="../media/image48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3" Type="http://schemas.openxmlformats.org/officeDocument/2006/relationships/image" Target="../media/image54.emf"/><Relationship Id="rId7" Type="http://schemas.openxmlformats.org/officeDocument/2006/relationships/image" Target="../media/image51.emf"/><Relationship Id="rId2" Type="http://schemas.openxmlformats.org/officeDocument/2006/relationships/image" Target="../media/image53.emf"/><Relationship Id="rId1" Type="http://schemas.openxmlformats.org/officeDocument/2006/relationships/image" Target="../media/image52.emf"/><Relationship Id="rId6" Type="http://schemas.openxmlformats.org/officeDocument/2006/relationships/image" Target="../media/image57.emf"/><Relationship Id="rId5" Type="http://schemas.openxmlformats.org/officeDocument/2006/relationships/image" Target="../media/image56.emf"/><Relationship Id="rId4" Type="http://schemas.openxmlformats.org/officeDocument/2006/relationships/image" Target="../media/image55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13" Type="http://schemas.openxmlformats.org/officeDocument/2006/relationships/image" Target="../media/image72.emf"/><Relationship Id="rId18" Type="http://schemas.openxmlformats.org/officeDocument/2006/relationships/image" Target="../media/image58.emf"/><Relationship Id="rId3" Type="http://schemas.openxmlformats.org/officeDocument/2006/relationships/image" Target="../media/image65.emf"/><Relationship Id="rId7" Type="http://schemas.openxmlformats.org/officeDocument/2006/relationships/image" Target="../media/image61.emf"/><Relationship Id="rId12" Type="http://schemas.openxmlformats.org/officeDocument/2006/relationships/image" Target="../media/image71.emf"/><Relationship Id="rId17" Type="http://schemas.openxmlformats.org/officeDocument/2006/relationships/image" Target="../media/image59.emf"/><Relationship Id="rId2" Type="http://schemas.openxmlformats.org/officeDocument/2006/relationships/image" Target="../media/image67.emf"/><Relationship Id="rId16" Type="http://schemas.openxmlformats.org/officeDocument/2006/relationships/image" Target="../media/image75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11" Type="http://schemas.openxmlformats.org/officeDocument/2006/relationships/image" Target="../media/image70.emf"/><Relationship Id="rId5" Type="http://schemas.openxmlformats.org/officeDocument/2006/relationships/image" Target="../media/image63.emf"/><Relationship Id="rId15" Type="http://schemas.openxmlformats.org/officeDocument/2006/relationships/image" Target="../media/image74.emf"/><Relationship Id="rId10" Type="http://schemas.openxmlformats.org/officeDocument/2006/relationships/image" Target="../media/image69.emf"/><Relationship Id="rId4" Type="http://schemas.openxmlformats.org/officeDocument/2006/relationships/image" Target="../media/image64.emf"/><Relationship Id="rId9" Type="http://schemas.openxmlformats.org/officeDocument/2006/relationships/image" Target="../media/image68.emf"/><Relationship Id="rId14" Type="http://schemas.openxmlformats.org/officeDocument/2006/relationships/image" Target="../media/image73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3.emf"/><Relationship Id="rId3" Type="http://schemas.openxmlformats.org/officeDocument/2006/relationships/image" Target="../media/image79.emf"/><Relationship Id="rId7" Type="http://schemas.openxmlformats.org/officeDocument/2006/relationships/image" Target="../media/image82.emf"/><Relationship Id="rId2" Type="http://schemas.openxmlformats.org/officeDocument/2006/relationships/image" Target="../media/image81.emf"/><Relationship Id="rId1" Type="http://schemas.openxmlformats.org/officeDocument/2006/relationships/image" Target="../media/image80.emf"/><Relationship Id="rId6" Type="http://schemas.openxmlformats.org/officeDocument/2006/relationships/image" Target="../media/image76.emf"/><Relationship Id="rId5" Type="http://schemas.openxmlformats.org/officeDocument/2006/relationships/image" Target="../media/image77.emf"/><Relationship Id="rId4" Type="http://schemas.openxmlformats.org/officeDocument/2006/relationships/image" Target="../media/image78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93.emf"/><Relationship Id="rId3" Type="http://schemas.openxmlformats.org/officeDocument/2006/relationships/image" Target="../media/image89.emf"/><Relationship Id="rId7" Type="http://schemas.openxmlformats.org/officeDocument/2006/relationships/image" Target="../media/image92.emf"/><Relationship Id="rId12" Type="http://schemas.openxmlformats.org/officeDocument/2006/relationships/image" Target="../media/image84.emf"/><Relationship Id="rId2" Type="http://schemas.openxmlformats.org/officeDocument/2006/relationships/image" Target="../media/image91.emf"/><Relationship Id="rId1" Type="http://schemas.openxmlformats.org/officeDocument/2006/relationships/image" Target="../media/image90.emf"/><Relationship Id="rId6" Type="http://schemas.openxmlformats.org/officeDocument/2006/relationships/image" Target="../media/image86.emf"/><Relationship Id="rId11" Type="http://schemas.openxmlformats.org/officeDocument/2006/relationships/image" Target="../media/image85.emf"/><Relationship Id="rId5" Type="http://schemas.openxmlformats.org/officeDocument/2006/relationships/image" Target="../media/image87.emf"/><Relationship Id="rId10" Type="http://schemas.openxmlformats.org/officeDocument/2006/relationships/image" Target="../media/image95.emf"/><Relationship Id="rId4" Type="http://schemas.openxmlformats.org/officeDocument/2006/relationships/image" Target="../media/image88.emf"/><Relationship Id="rId9" Type="http://schemas.openxmlformats.org/officeDocument/2006/relationships/image" Target="../media/image94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emf"/><Relationship Id="rId3" Type="http://schemas.openxmlformats.org/officeDocument/2006/relationships/image" Target="../media/image99.emf"/><Relationship Id="rId7" Type="http://schemas.openxmlformats.org/officeDocument/2006/relationships/image" Target="../media/image102.emf"/><Relationship Id="rId2" Type="http://schemas.openxmlformats.org/officeDocument/2006/relationships/image" Target="../media/image101.emf"/><Relationship Id="rId1" Type="http://schemas.openxmlformats.org/officeDocument/2006/relationships/image" Target="../media/image100.emf"/><Relationship Id="rId6" Type="http://schemas.openxmlformats.org/officeDocument/2006/relationships/image" Target="../media/image96.emf"/><Relationship Id="rId5" Type="http://schemas.openxmlformats.org/officeDocument/2006/relationships/image" Target="../media/image97.emf"/><Relationship Id="rId10" Type="http://schemas.openxmlformats.org/officeDocument/2006/relationships/image" Target="../media/image105.emf"/><Relationship Id="rId4" Type="http://schemas.openxmlformats.org/officeDocument/2006/relationships/image" Target="../media/image98.emf"/><Relationship Id="rId9" Type="http://schemas.openxmlformats.org/officeDocument/2006/relationships/image" Target="../media/image10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2.emf"/><Relationship Id="rId5" Type="http://schemas.openxmlformats.org/officeDocument/2006/relationships/image" Target="../media/image13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8.emf"/><Relationship Id="rId5" Type="http://schemas.openxmlformats.org/officeDocument/2006/relationships/image" Target="../media/image19.emf"/><Relationship Id="rId4" Type="http://schemas.openxmlformats.org/officeDocument/2006/relationships/image" Target="../media/image2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7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3.emf"/><Relationship Id="rId7" Type="http://schemas.openxmlformats.org/officeDocument/2006/relationships/image" Target="../media/image29.emf"/><Relationship Id="rId12" Type="http://schemas.openxmlformats.org/officeDocument/2006/relationships/image" Target="../media/image39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0.emf"/><Relationship Id="rId11" Type="http://schemas.openxmlformats.org/officeDocument/2006/relationships/image" Target="../media/image38.emf"/><Relationship Id="rId5" Type="http://schemas.openxmlformats.org/officeDocument/2006/relationships/image" Target="../media/image31.emf"/><Relationship Id="rId10" Type="http://schemas.openxmlformats.org/officeDocument/2006/relationships/image" Target="../media/image37.emf"/><Relationship Id="rId4" Type="http://schemas.openxmlformats.org/officeDocument/2006/relationships/image" Target="../media/image32.emf"/><Relationship Id="rId9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229117</xdr:colOff>
      <xdr:row>5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72542" cy="1076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1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1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1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1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1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1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1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1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2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2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2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2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2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2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2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2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2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2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2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2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2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2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2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2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2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2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3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3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3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3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3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3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3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3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4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4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4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4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4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4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4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4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4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4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4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4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5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5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5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5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5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5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5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5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5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5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3EBD6343-8E94-42B3-9E8C-6CBD8A86BC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551D46E4-7162-4BDF-ABF1-F64568BBD1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34988304-1C2C-4B43-92A1-AD86160556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EAC962B5-0DC4-4588-B0FD-6C0F96BC8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164FBBB4-5E92-4FF2-90C7-254D89EB95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FE8FD57C-CFB7-4174-BB68-072DB4B72A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84993" name="TextBox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B2E6A7C6-C220-43CD-A3C2-3933EFA9BC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84994" name="TextBox2" hidden="1">
              <a:extLst>
                <a:ext uri="{63B3BB69-23CF-44E3-9099-C40C66FF867C}">
                  <a14:compatExt spid="_x0000_s84994"/>
                </a:ext>
                <a:ext uri="{FF2B5EF4-FFF2-40B4-BE49-F238E27FC236}">
                  <a16:creationId xmlns:a16="http://schemas.microsoft.com/office/drawing/2014/main" id="{9C258989-7C00-4FE2-8444-DDBB12FDFF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B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B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B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B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D6ADE23A-4BA0-49FD-A1D7-CE83315481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C353C232-5C32-45BE-99C1-C15241A68D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C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C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C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C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32E714B2-25C6-4E2A-89C3-49B0836C8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DA1E45C3-2872-40AD-A34F-3052CBFC2B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D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D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D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D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F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F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F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F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F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F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F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F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F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F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F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F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7">
          <cell r="G7">
            <v>350000</v>
          </cell>
        </row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 refreshError="1"/>
      <sheetData sheetId="1" refreshError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 refreshError="1"/>
      <sheetData sheetId="5" refreshError="1"/>
      <sheetData sheetId="6">
        <row r="2">
          <cell r="X2">
            <v>115359.99999999999</v>
          </cell>
        </row>
      </sheetData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3" Type="http://schemas.openxmlformats.org/officeDocument/2006/relationships/vmlDrawing" Target="../drawings/vmlDrawing5.vml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image" Target="../media/image22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19.emf"/><Relationship Id="rId12" Type="http://schemas.openxmlformats.org/officeDocument/2006/relationships/control" Target="../activeX/activeX2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8.xml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5" Type="http://schemas.openxmlformats.org/officeDocument/2006/relationships/image" Target="../media/image23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20.emf"/><Relationship Id="rId14" Type="http://schemas.openxmlformats.org/officeDocument/2006/relationships/control" Target="../activeX/activeX2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25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4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0" Type="http://schemas.openxmlformats.org/officeDocument/2006/relationships/control" Target="../activeX/activeX26.xml"/><Relationship Id="rId4" Type="http://schemas.openxmlformats.org/officeDocument/2006/relationships/control" Target="../activeX/activeX23.xml"/><Relationship Id="rId9" Type="http://schemas.openxmlformats.org/officeDocument/2006/relationships/image" Target="../media/image26.emf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2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13" Type="http://schemas.openxmlformats.org/officeDocument/2006/relationships/control" Target="../activeX/activeX32.xml"/><Relationship Id="rId18" Type="http://schemas.openxmlformats.org/officeDocument/2006/relationships/image" Target="../media/image35.emf"/><Relationship Id="rId26" Type="http://schemas.openxmlformats.org/officeDocument/2006/relationships/image" Target="../media/image39.emf"/><Relationship Id="rId3" Type="http://schemas.openxmlformats.org/officeDocument/2006/relationships/control" Target="../activeX/activeX27.xml"/><Relationship Id="rId21" Type="http://schemas.openxmlformats.org/officeDocument/2006/relationships/control" Target="../activeX/activeX36.xml"/><Relationship Id="rId7" Type="http://schemas.openxmlformats.org/officeDocument/2006/relationships/control" Target="../activeX/activeX29.xml"/><Relationship Id="rId12" Type="http://schemas.openxmlformats.org/officeDocument/2006/relationships/image" Target="../media/image32.emf"/><Relationship Id="rId17" Type="http://schemas.openxmlformats.org/officeDocument/2006/relationships/control" Target="../activeX/activeX34.xml"/><Relationship Id="rId25" Type="http://schemas.openxmlformats.org/officeDocument/2006/relationships/control" Target="../activeX/activeX38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34.emf"/><Relationship Id="rId20" Type="http://schemas.openxmlformats.org/officeDocument/2006/relationships/image" Target="../media/image36.emf"/><Relationship Id="rId1" Type="http://schemas.openxmlformats.org/officeDocument/2006/relationships/drawing" Target="../drawings/drawing8.xml"/><Relationship Id="rId6" Type="http://schemas.openxmlformats.org/officeDocument/2006/relationships/image" Target="../media/image29.emf"/><Relationship Id="rId11" Type="http://schemas.openxmlformats.org/officeDocument/2006/relationships/control" Target="../activeX/activeX31.xml"/><Relationship Id="rId24" Type="http://schemas.openxmlformats.org/officeDocument/2006/relationships/image" Target="../media/image38.emf"/><Relationship Id="rId5" Type="http://schemas.openxmlformats.org/officeDocument/2006/relationships/control" Target="../activeX/activeX28.xml"/><Relationship Id="rId15" Type="http://schemas.openxmlformats.org/officeDocument/2006/relationships/control" Target="../activeX/activeX33.xml"/><Relationship Id="rId23" Type="http://schemas.openxmlformats.org/officeDocument/2006/relationships/control" Target="../activeX/activeX37.xml"/><Relationship Id="rId10" Type="http://schemas.openxmlformats.org/officeDocument/2006/relationships/image" Target="../media/image31.emf"/><Relationship Id="rId19" Type="http://schemas.openxmlformats.org/officeDocument/2006/relationships/control" Target="../activeX/activeX35.xml"/><Relationship Id="rId4" Type="http://schemas.openxmlformats.org/officeDocument/2006/relationships/image" Target="../media/image28.emf"/><Relationship Id="rId9" Type="http://schemas.openxmlformats.org/officeDocument/2006/relationships/control" Target="../activeX/activeX30.xml"/><Relationship Id="rId14" Type="http://schemas.openxmlformats.org/officeDocument/2006/relationships/image" Target="../media/image33.emf"/><Relationship Id="rId22" Type="http://schemas.openxmlformats.org/officeDocument/2006/relationships/image" Target="../media/image37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control" Target="../activeX/activeX44.xml"/><Relationship Id="rId18" Type="http://schemas.openxmlformats.org/officeDocument/2006/relationships/image" Target="../media/image47.emf"/><Relationship Id="rId3" Type="http://schemas.openxmlformats.org/officeDocument/2006/relationships/control" Target="../activeX/activeX39.xml"/><Relationship Id="rId21" Type="http://schemas.openxmlformats.org/officeDocument/2006/relationships/control" Target="../activeX/activeX48.xml"/><Relationship Id="rId7" Type="http://schemas.openxmlformats.org/officeDocument/2006/relationships/control" Target="../activeX/activeX41.xml"/><Relationship Id="rId12" Type="http://schemas.openxmlformats.org/officeDocument/2006/relationships/image" Target="../media/image44.emf"/><Relationship Id="rId17" Type="http://schemas.openxmlformats.org/officeDocument/2006/relationships/control" Target="../activeX/activeX46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46.emf"/><Relationship Id="rId20" Type="http://schemas.openxmlformats.org/officeDocument/2006/relationships/image" Target="../media/image48.emf"/><Relationship Id="rId1" Type="http://schemas.openxmlformats.org/officeDocument/2006/relationships/drawing" Target="../drawings/drawing9.xml"/><Relationship Id="rId6" Type="http://schemas.openxmlformats.org/officeDocument/2006/relationships/image" Target="../media/image41.emf"/><Relationship Id="rId11" Type="http://schemas.openxmlformats.org/officeDocument/2006/relationships/control" Target="../activeX/activeX43.xml"/><Relationship Id="rId5" Type="http://schemas.openxmlformats.org/officeDocument/2006/relationships/control" Target="../activeX/activeX40.xml"/><Relationship Id="rId15" Type="http://schemas.openxmlformats.org/officeDocument/2006/relationships/control" Target="../activeX/activeX45.xml"/><Relationship Id="rId10" Type="http://schemas.openxmlformats.org/officeDocument/2006/relationships/image" Target="../media/image43.emf"/><Relationship Id="rId19" Type="http://schemas.openxmlformats.org/officeDocument/2006/relationships/control" Target="../activeX/activeX47.xml"/><Relationship Id="rId4" Type="http://schemas.openxmlformats.org/officeDocument/2006/relationships/image" Target="../media/image40.emf"/><Relationship Id="rId9" Type="http://schemas.openxmlformats.org/officeDocument/2006/relationships/control" Target="../activeX/activeX42.xml"/><Relationship Id="rId14" Type="http://schemas.openxmlformats.org/officeDocument/2006/relationships/image" Target="../media/image45.emf"/><Relationship Id="rId22" Type="http://schemas.openxmlformats.org/officeDocument/2006/relationships/image" Target="../media/image49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.xml"/><Relationship Id="rId13" Type="http://schemas.openxmlformats.org/officeDocument/2006/relationships/image" Target="../media/image54.emf"/><Relationship Id="rId18" Type="http://schemas.openxmlformats.org/officeDocument/2006/relationships/control" Target="../activeX/activeX56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51.emf"/><Relationship Id="rId12" Type="http://schemas.openxmlformats.org/officeDocument/2006/relationships/control" Target="../activeX/activeX53.xml"/><Relationship Id="rId17" Type="http://schemas.openxmlformats.org/officeDocument/2006/relationships/image" Target="../media/image56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55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50.xml"/><Relationship Id="rId11" Type="http://schemas.openxmlformats.org/officeDocument/2006/relationships/image" Target="../media/image53.emf"/><Relationship Id="rId5" Type="http://schemas.openxmlformats.org/officeDocument/2006/relationships/image" Target="../media/image50.emf"/><Relationship Id="rId15" Type="http://schemas.openxmlformats.org/officeDocument/2006/relationships/image" Target="../media/image55.emf"/><Relationship Id="rId10" Type="http://schemas.openxmlformats.org/officeDocument/2006/relationships/control" Target="../activeX/activeX52.xml"/><Relationship Id="rId19" Type="http://schemas.openxmlformats.org/officeDocument/2006/relationships/image" Target="../media/image57.emf"/><Relationship Id="rId4" Type="http://schemas.openxmlformats.org/officeDocument/2006/relationships/control" Target="../activeX/activeX49.xml"/><Relationship Id="rId9" Type="http://schemas.openxmlformats.org/officeDocument/2006/relationships/image" Target="../media/image52.emf"/><Relationship Id="rId14" Type="http://schemas.openxmlformats.org/officeDocument/2006/relationships/control" Target="../activeX/activeX54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2.xml"/><Relationship Id="rId18" Type="http://schemas.openxmlformats.org/officeDocument/2006/relationships/image" Target="../media/image65.emf"/><Relationship Id="rId26" Type="http://schemas.openxmlformats.org/officeDocument/2006/relationships/image" Target="../media/image69.emf"/><Relationship Id="rId21" Type="http://schemas.openxmlformats.org/officeDocument/2006/relationships/control" Target="../activeX/activeX66.xml"/><Relationship Id="rId34" Type="http://schemas.openxmlformats.org/officeDocument/2006/relationships/image" Target="../media/image73.emf"/><Relationship Id="rId7" Type="http://schemas.openxmlformats.org/officeDocument/2006/relationships/control" Target="../activeX/activeX59.xml"/><Relationship Id="rId12" Type="http://schemas.openxmlformats.org/officeDocument/2006/relationships/image" Target="../media/image62.emf"/><Relationship Id="rId17" Type="http://schemas.openxmlformats.org/officeDocument/2006/relationships/control" Target="../activeX/activeX64.xml"/><Relationship Id="rId25" Type="http://schemas.openxmlformats.org/officeDocument/2006/relationships/control" Target="../activeX/activeX68.xml"/><Relationship Id="rId33" Type="http://schemas.openxmlformats.org/officeDocument/2006/relationships/control" Target="../activeX/activeX72.xml"/><Relationship Id="rId38" Type="http://schemas.openxmlformats.org/officeDocument/2006/relationships/image" Target="../media/image75.emf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64.emf"/><Relationship Id="rId20" Type="http://schemas.openxmlformats.org/officeDocument/2006/relationships/image" Target="../media/image66.emf"/><Relationship Id="rId29" Type="http://schemas.openxmlformats.org/officeDocument/2006/relationships/control" Target="../activeX/activeX70.xml"/><Relationship Id="rId1" Type="http://schemas.openxmlformats.org/officeDocument/2006/relationships/drawing" Target="../drawings/drawing11.xml"/><Relationship Id="rId6" Type="http://schemas.openxmlformats.org/officeDocument/2006/relationships/image" Target="../media/image59.emf"/><Relationship Id="rId11" Type="http://schemas.openxmlformats.org/officeDocument/2006/relationships/control" Target="../activeX/activeX61.xml"/><Relationship Id="rId24" Type="http://schemas.openxmlformats.org/officeDocument/2006/relationships/image" Target="../media/image68.emf"/><Relationship Id="rId32" Type="http://schemas.openxmlformats.org/officeDocument/2006/relationships/image" Target="../media/image72.emf"/><Relationship Id="rId37" Type="http://schemas.openxmlformats.org/officeDocument/2006/relationships/control" Target="../activeX/activeX74.xml"/><Relationship Id="rId5" Type="http://schemas.openxmlformats.org/officeDocument/2006/relationships/control" Target="../activeX/activeX58.xml"/><Relationship Id="rId15" Type="http://schemas.openxmlformats.org/officeDocument/2006/relationships/control" Target="../activeX/activeX63.xml"/><Relationship Id="rId23" Type="http://schemas.openxmlformats.org/officeDocument/2006/relationships/control" Target="../activeX/activeX67.xml"/><Relationship Id="rId28" Type="http://schemas.openxmlformats.org/officeDocument/2006/relationships/image" Target="../media/image70.emf"/><Relationship Id="rId36" Type="http://schemas.openxmlformats.org/officeDocument/2006/relationships/image" Target="../media/image74.emf"/><Relationship Id="rId10" Type="http://schemas.openxmlformats.org/officeDocument/2006/relationships/image" Target="../media/image61.emf"/><Relationship Id="rId19" Type="http://schemas.openxmlformats.org/officeDocument/2006/relationships/control" Target="../activeX/activeX65.xml"/><Relationship Id="rId31" Type="http://schemas.openxmlformats.org/officeDocument/2006/relationships/control" Target="../activeX/activeX71.xml"/><Relationship Id="rId4" Type="http://schemas.openxmlformats.org/officeDocument/2006/relationships/image" Target="../media/image58.emf"/><Relationship Id="rId9" Type="http://schemas.openxmlformats.org/officeDocument/2006/relationships/control" Target="../activeX/activeX60.xml"/><Relationship Id="rId14" Type="http://schemas.openxmlformats.org/officeDocument/2006/relationships/image" Target="../media/image63.emf"/><Relationship Id="rId22" Type="http://schemas.openxmlformats.org/officeDocument/2006/relationships/image" Target="../media/image67.emf"/><Relationship Id="rId27" Type="http://schemas.openxmlformats.org/officeDocument/2006/relationships/control" Target="../activeX/activeX69.xml"/><Relationship Id="rId30" Type="http://schemas.openxmlformats.org/officeDocument/2006/relationships/image" Target="../media/image71.emf"/><Relationship Id="rId35" Type="http://schemas.openxmlformats.org/officeDocument/2006/relationships/control" Target="../activeX/activeX73.xml"/><Relationship Id="rId8" Type="http://schemas.openxmlformats.org/officeDocument/2006/relationships/image" Target="../media/image60.emf"/><Relationship Id="rId3" Type="http://schemas.openxmlformats.org/officeDocument/2006/relationships/control" Target="../activeX/activeX57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emf"/><Relationship Id="rId13" Type="http://schemas.openxmlformats.org/officeDocument/2006/relationships/control" Target="../activeX/activeX80.xml"/><Relationship Id="rId18" Type="http://schemas.openxmlformats.org/officeDocument/2006/relationships/image" Target="../media/image83.emf"/><Relationship Id="rId3" Type="http://schemas.openxmlformats.org/officeDocument/2006/relationships/control" Target="../activeX/activeX75.xml"/><Relationship Id="rId7" Type="http://schemas.openxmlformats.org/officeDocument/2006/relationships/control" Target="../activeX/activeX77.xml"/><Relationship Id="rId12" Type="http://schemas.openxmlformats.org/officeDocument/2006/relationships/image" Target="../media/image80.emf"/><Relationship Id="rId17" Type="http://schemas.openxmlformats.org/officeDocument/2006/relationships/control" Target="../activeX/activeX82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82.emf"/><Relationship Id="rId1" Type="http://schemas.openxmlformats.org/officeDocument/2006/relationships/drawing" Target="../drawings/drawing12.xml"/><Relationship Id="rId6" Type="http://schemas.openxmlformats.org/officeDocument/2006/relationships/image" Target="../media/image77.emf"/><Relationship Id="rId11" Type="http://schemas.openxmlformats.org/officeDocument/2006/relationships/control" Target="../activeX/activeX79.xml"/><Relationship Id="rId5" Type="http://schemas.openxmlformats.org/officeDocument/2006/relationships/control" Target="../activeX/activeX76.xml"/><Relationship Id="rId15" Type="http://schemas.openxmlformats.org/officeDocument/2006/relationships/control" Target="../activeX/activeX81.xml"/><Relationship Id="rId10" Type="http://schemas.openxmlformats.org/officeDocument/2006/relationships/image" Target="../media/image79.emf"/><Relationship Id="rId4" Type="http://schemas.openxmlformats.org/officeDocument/2006/relationships/image" Target="../media/image76.emf"/><Relationship Id="rId9" Type="http://schemas.openxmlformats.org/officeDocument/2006/relationships/control" Target="../activeX/activeX78.xml"/><Relationship Id="rId14" Type="http://schemas.openxmlformats.org/officeDocument/2006/relationships/image" Target="../media/image81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13" Type="http://schemas.openxmlformats.org/officeDocument/2006/relationships/control" Target="../activeX/activeX88.xml"/><Relationship Id="rId18" Type="http://schemas.openxmlformats.org/officeDocument/2006/relationships/image" Target="../media/image91.emf"/><Relationship Id="rId26" Type="http://schemas.openxmlformats.org/officeDocument/2006/relationships/image" Target="../media/image95.emf"/><Relationship Id="rId3" Type="http://schemas.openxmlformats.org/officeDocument/2006/relationships/control" Target="../activeX/activeX83.xml"/><Relationship Id="rId21" Type="http://schemas.openxmlformats.org/officeDocument/2006/relationships/control" Target="../activeX/activeX92.xml"/><Relationship Id="rId7" Type="http://schemas.openxmlformats.org/officeDocument/2006/relationships/control" Target="../activeX/activeX85.xml"/><Relationship Id="rId12" Type="http://schemas.openxmlformats.org/officeDocument/2006/relationships/image" Target="../media/image88.emf"/><Relationship Id="rId17" Type="http://schemas.openxmlformats.org/officeDocument/2006/relationships/control" Target="../activeX/activeX90.xml"/><Relationship Id="rId25" Type="http://schemas.openxmlformats.org/officeDocument/2006/relationships/control" Target="../activeX/activeX94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90.emf"/><Relationship Id="rId20" Type="http://schemas.openxmlformats.org/officeDocument/2006/relationships/image" Target="../media/image92.emf"/><Relationship Id="rId1" Type="http://schemas.openxmlformats.org/officeDocument/2006/relationships/drawing" Target="../drawings/drawing13.xml"/><Relationship Id="rId6" Type="http://schemas.openxmlformats.org/officeDocument/2006/relationships/image" Target="../media/image85.emf"/><Relationship Id="rId11" Type="http://schemas.openxmlformats.org/officeDocument/2006/relationships/control" Target="../activeX/activeX87.xml"/><Relationship Id="rId24" Type="http://schemas.openxmlformats.org/officeDocument/2006/relationships/image" Target="../media/image94.emf"/><Relationship Id="rId5" Type="http://schemas.openxmlformats.org/officeDocument/2006/relationships/control" Target="../activeX/activeX84.xml"/><Relationship Id="rId15" Type="http://schemas.openxmlformats.org/officeDocument/2006/relationships/control" Target="../activeX/activeX89.xml"/><Relationship Id="rId23" Type="http://schemas.openxmlformats.org/officeDocument/2006/relationships/control" Target="../activeX/activeX93.xml"/><Relationship Id="rId10" Type="http://schemas.openxmlformats.org/officeDocument/2006/relationships/image" Target="../media/image87.emf"/><Relationship Id="rId19" Type="http://schemas.openxmlformats.org/officeDocument/2006/relationships/control" Target="../activeX/activeX91.xml"/><Relationship Id="rId4" Type="http://schemas.openxmlformats.org/officeDocument/2006/relationships/image" Target="../media/image84.emf"/><Relationship Id="rId9" Type="http://schemas.openxmlformats.org/officeDocument/2006/relationships/control" Target="../activeX/activeX86.xml"/><Relationship Id="rId14" Type="http://schemas.openxmlformats.org/officeDocument/2006/relationships/image" Target="../media/image89.emf"/><Relationship Id="rId22" Type="http://schemas.openxmlformats.org/officeDocument/2006/relationships/image" Target="../media/image93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13" Type="http://schemas.openxmlformats.org/officeDocument/2006/relationships/control" Target="../activeX/activeX100.xml"/><Relationship Id="rId18" Type="http://schemas.openxmlformats.org/officeDocument/2006/relationships/image" Target="../media/image103.emf"/><Relationship Id="rId3" Type="http://schemas.openxmlformats.org/officeDocument/2006/relationships/control" Target="../activeX/activeX95.xml"/><Relationship Id="rId21" Type="http://schemas.openxmlformats.org/officeDocument/2006/relationships/control" Target="../activeX/activeX104.xml"/><Relationship Id="rId7" Type="http://schemas.openxmlformats.org/officeDocument/2006/relationships/control" Target="../activeX/activeX97.xml"/><Relationship Id="rId12" Type="http://schemas.openxmlformats.org/officeDocument/2006/relationships/image" Target="../media/image100.emf"/><Relationship Id="rId17" Type="http://schemas.openxmlformats.org/officeDocument/2006/relationships/control" Target="../activeX/activeX102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102.emf"/><Relationship Id="rId20" Type="http://schemas.openxmlformats.org/officeDocument/2006/relationships/image" Target="../media/image104.emf"/><Relationship Id="rId1" Type="http://schemas.openxmlformats.org/officeDocument/2006/relationships/drawing" Target="../drawings/drawing14.xml"/><Relationship Id="rId6" Type="http://schemas.openxmlformats.org/officeDocument/2006/relationships/image" Target="../media/image97.emf"/><Relationship Id="rId11" Type="http://schemas.openxmlformats.org/officeDocument/2006/relationships/control" Target="../activeX/activeX99.xml"/><Relationship Id="rId5" Type="http://schemas.openxmlformats.org/officeDocument/2006/relationships/control" Target="../activeX/activeX96.xml"/><Relationship Id="rId15" Type="http://schemas.openxmlformats.org/officeDocument/2006/relationships/control" Target="../activeX/activeX101.xml"/><Relationship Id="rId10" Type="http://schemas.openxmlformats.org/officeDocument/2006/relationships/image" Target="../media/image99.emf"/><Relationship Id="rId19" Type="http://schemas.openxmlformats.org/officeDocument/2006/relationships/control" Target="../activeX/activeX103.xml"/><Relationship Id="rId4" Type="http://schemas.openxmlformats.org/officeDocument/2006/relationships/image" Target="../media/image96.emf"/><Relationship Id="rId9" Type="http://schemas.openxmlformats.org/officeDocument/2006/relationships/control" Target="../activeX/activeX98.xml"/><Relationship Id="rId14" Type="http://schemas.openxmlformats.org/officeDocument/2006/relationships/image" Target="../media/image101.emf"/><Relationship Id="rId22" Type="http://schemas.openxmlformats.org/officeDocument/2006/relationships/image" Target="../media/image105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2:F32"/>
  <sheetViews>
    <sheetView tabSelected="1" workbookViewId="0">
      <selection activeCell="I30" sqref="I30"/>
    </sheetView>
  </sheetViews>
  <sheetFormatPr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2" spans="1:6" ht="15.75" x14ac:dyDescent="0.25">
      <c r="B12" s="98">
        <v>44592</v>
      </c>
    </row>
    <row r="13" spans="1:6" ht="26.25" x14ac:dyDescent="0.4">
      <c r="B13" s="98"/>
      <c r="D13" s="99" t="s">
        <v>223</v>
      </c>
      <c r="E13" s="99"/>
      <c r="F13" s="99"/>
    </row>
    <row r="14" spans="1:6" x14ac:dyDescent="0.25">
      <c r="A14" s="100"/>
      <c r="B14" s="35" t="s">
        <v>7822</v>
      </c>
    </row>
    <row r="15" spans="1:6" hidden="1" x14ac:dyDescent="0.25">
      <c r="A15" s="100"/>
      <c r="B15" s="35" t="s">
        <v>7717</v>
      </c>
    </row>
    <row r="16" spans="1:6" x14ac:dyDescent="0.25">
      <c r="A16" s="100"/>
      <c r="B16" s="101" t="s">
        <v>7823</v>
      </c>
    </row>
    <row r="17" spans="1:3" x14ac:dyDescent="0.25">
      <c r="A17" s="100"/>
      <c r="B17" s="101" t="s">
        <v>7824</v>
      </c>
      <c r="C17" s="101"/>
    </row>
    <row r="18" spans="1:3" x14ac:dyDescent="0.25">
      <c r="A18" s="100"/>
      <c r="B18" s="101" t="s">
        <v>7755</v>
      </c>
      <c r="C18" s="101"/>
    </row>
    <row r="19" spans="1:3" x14ac:dyDescent="0.25">
      <c r="A19" s="100"/>
      <c r="B19" s="101" t="s">
        <v>7825</v>
      </c>
    </row>
    <row r="20" spans="1:3" x14ac:dyDescent="0.25">
      <c r="A20" s="100"/>
      <c r="B20" s="101" t="s">
        <v>7826</v>
      </c>
    </row>
    <row r="21" spans="1:3" hidden="1" x14ac:dyDescent="0.25">
      <c r="A21" s="100"/>
      <c r="B21" s="101" t="s">
        <v>7699</v>
      </c>
    </row>
    <row r="22" spans="1:3" hidden="1" x14ac:dyDescent="0.25">
      <c r="A22" s="100"/>
      <c r="B22" s="101" t="s">
        <v>7700</v>
      </c>
    </row>
    <row r="23" spans="1:3" hidden="1" x14ac:dyDescent="0.25">
      <c r="A23" s="100"/>
      <c r="B23" s="101" t="s">
        <v>7701</v>
      </c>
    </row>
    <row r="24" spans="1:3" hidden="1" x14ac:dyDescent="0.25">
      <c r="A24" s="100"/>
      <c r="B24" s="101" t="s">
        <v>7702</v>
      </c>
    </row>
    <row r="25" spans="1:3" hidden="1" x14ac:dyDescent="0.25">
      <c r="A25" s="100"/>
      <c r="B25" s="101" t="s">
        <v>7703</v>
      </c>
    </row>
    <row r="26" spans="1:3" hidden="1" x14ac:dyDescent="0.25">
      <c r="A26" s="100"/>
      <c r="B26" s="101" t="s">
        <v>7704</v>
      </c>
    </row>
    <row r="27" spans="1:3" ht="15" hidden="1" customHeight="1" x14ac:dyDescent="0.25">
      <c r="A27" s="100"/>
      <c r="B27" s="101" t="s">
        <v>7705</v>
      </c>
    </row>
    <row r="28" spans="1:3" hidden="1" x14ac:dyDescent="0.25">
      <c r="A28" s="100"/>
      <c r="B28" s="102" t="s">
        <v>7706</v>
      </c>
    </row>
    <row r="29" spans="1:3" x14ac:dyDescent="0.25">
      <c r="A29" s="100"/>
      <c r="B29" s="102" t="s">
        <v>7720</v>
      </c>
    </row>
    <row r="30" spans="1:3" x14ac:dyDescent="0.25">
      <c r="A30" s="100"/>
      <c r="B30" s="102" t="s">
        <v>7721</v>
      </c>
    </row>
    <row r="31" spans="1:3" x14ac:dyDescent="0.25">
      <c r="A31" s="100"/>
      <c r="B31" s="102" t="s">
        <v>7722</v>
      </c>
    </row>
    <row r="32" spans="1:3" ht="15.75" x14ac:dyDescent="0.25">
      <c r="B32" s="103" t="s">
        <v>7707</v>
      </c>
    </row>
  </sheetData>
  <hyperlinks>
    <hyperlink ref="B15" location="'Balance Sheet Summary'!A1" display="Balance Sheet Summary Oct 21" xr:uid="{FB934DAD-DD8B-47F4-B99B-D8D88B2306AC}"/>
    <hyperlink ref="B16" location="'Jan 22  P&amp;L'!A1" display="US  P&amp;L Jan 22" xr:uid="{7E3E77D8-D0F9-4915-9619-7F510AE47A75}"/>
    <hyperlink ref="B17" location="'YTD US Profit and Loss'!A1" display="YTD US P&amp;L Jan 22" xr:uid="{A818815C-C439-454C-A167-E0965DC164C1}"/>
    <hyperlink ref="B19" location="'Board Summary'!A1" display="Jan 22 Board Summary" xr:uid="{EE80E622-5DA2-4EB8-8D92-1D0857E8E2E9}"/>
    <hyperlink ref="B20" location="'FY 22 approved Bud'!A1" display="FY 22 Bud APPROVED " xr:uid="{97F6FFC5-F80C-4EA3-926B-D0640AF6ACC8}"/>
    <hyperlink ref="B14" location="'US Balance Sheet Year over Year'!A1" display="Balance sheet Year over Year  Jan 22  US Only " xr:uid="{D116F7F6-5826-45FB-9D00-FAA86B7CFD52}"/>
    <hyperlink ref="B21" location="'US Ch Bal'!A1" display="US Ch bal" xr:uid="{69301279-5602-4936-879B-D2E567AE8557}"/>
    <hyperlink ref="B22" location="'EU CH bal'!A1" display="EU Ch Bal" xr:uid="{3F63AACA-A589-4A11-B9FD-DDF84ECC00A8}"/>
    <hyperlink ref="B23" location="'US Proj Bal'!A1" display="US Proj Bal" xr:uid="{1557C0EA-0CDE-4999-B766-8139F5FA1764}"/>
    <hyperlink ref="B24" location="'EU Proj Bal'!A1" display="EU Proj Bal" xr:uid="{6938F81B-1A96-4668-B75D-EB734A3986AE}"/>
    <hyperlink ref="B25" location="'US AR'!A1" display="US AR" xr:uid="{67051FED-4347-4260-B90E-1320BD00C9B4}"/>
    <hyperlink ref="B26" location="' US AP'!A1" display="US AP" xr:uid="{309E4E47-3B58-49B6-9609-0C29574DFB93}"/>
    <hyperlink ref="B27" location="'EU AP'!A1" display="EU AP" xr:uid="{5793F510-7773-4402-B812-8F1BAF48775C}"/>
    <hyperlink ref="B28" location="'1.21-6.21 Events P&amp;L''s'!A1" display="'1.21-6.21 Events P&amp;L's" xr:uid="{004AA88A-4362-4BAA-83D3-E35C6DD3A9D9}"/>
    <hyperlink ref="B29" location="'US Cash Flow stmt'!A1" display="Cash Flow stmt" xr:uid="{8721EE84-E621-4D99-AB41-C5D2F2E74EF5}"/>
    <hyperlink ref="B30" location="'Open AP'!A1" display="Open AP" xr:uid="{1029A512-FF0B-438F-884E-A8315E61AAEA}"/>
    <hyperlink ref="B31" location="'Open AR'!A1" display="Open AR" xr:uid="{889011BD-7149-4BE9-A25A-7B3314CEE571}"/>
    <hyperlink ref="B18" location="'US P&amp;L Year over Year'!A1" display="'US P&amp;L Year over Year" xr:uid="{21E86249-35CE-4BCF-8E53-98C4AFF6B1C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D73C1-6CC2-4658-97A4-ED42E28E8B28}">
  <sheetPr codeName="Sheet13"/>
  <dimension ref="A1:L59"/>
  <sheetViews>
    <sheetView zoomScale="160" zoomScaleNormal="16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L2" sqref="L2"/>
    </sheetView>
  </sheetViews>
  <sheetFormatPr defaultRowHeight="15" x14ac:dyDescent="0.25"/>
  <cols>
    <col min="1" max="6" width="3" style="2" customWidth="1"/>
    <col min="7" max="7" width="24.7109375" style="2" customWidth="1"/>
    <col min="8" max="8" width="8.7109375" style="75" bestFit="1" customWidth="1"/>
    <col min="9" max="10" width="8.42578125" style="75" bestFit="1" customWidth="1"/>
    <col min="11" max="11" width="8.7109375" style="75" bestFit="1" customWidth="1"/>
    <col min="12" max="16384" width="9.140625" style="75"/>
  </cols>
  <sheetData>
    <row r="1" spans="1:12" ht="15.75" thickBot="1" x14ac:dyDescent="0.3">
      <c r="A1" s="77"/>
      <c r="B1" s="77"/>
      <c r="C1" s="77"/>
      <c r="D1" s="77"/>
      <c r="E1" s="77"/>
      <c r="F1" s="77"/>
      <c r="G1" s="77"/>
      <c r="H1" s="105"/>
      <c r="I1" s="105"/>
      <c r="J1" s="105"/>
      <c r="K1" s="105"/>
    </row>
    <row r="2" spans="1:12" s="3" customFormat="1" ht="16.5" thickTop="1" thickBot="1" x14ac:dyDescent="0.3">
      <c r="A2" s="74"/>
      <c r="B2" s="74"/>
      <c r="C2" s="74"/>
      <c r="D2" s="74"/>
      <c r="E2" s="74"/>
      <c r="F2" s="74"/>
      <c r="G2" s="74"/>
      <c r="H2" s="104" t="s">
        <v>7819</v>
      </c>
      <c r="I2" s="104" t="s">
        <v>7820</v>
      </c>
      <c r="J2" s="104" t="s">
        <v>7743</v>
      </c>
      <c r="K2" s="104" t="s">
        <v>7742</v>
      </c>
      <c r="L2" s="39" t="s">
        <v>224</v>
      </c>
    </row>
    <row r="3" spans="1:12" ht="15.75" thickTop="1" x14ac:dyDescent="0.25">
      <c r="A3" s="77"/>
      <c r="B3" s="77" t="s">
        <v>3</v>
      </c>
      <c r="C3" s="77"/>
      <c r="D3" s="77"/>
      <c r="E3" s="77"/>
      <c r="F3" s="77"/>
      <c r="G3" s="77"/>
      <c r="H3" s="83"/>
      <c r="I3" s="83"/>
      <c r="J3" s="83"/>
      <c r="K3" s="141"/>
    </row>
    <row r="4" spans="1:12" x14ac:dyDescent="0.25">
      <c r="A4" s="77"/>
      <c r="B4" s="77"/>
      <c r="C4" s="77"/>
      <c r="D4" s="77" t="s">
        <v>4</v>
      </c>
      <c r="E4" s="77"/>
      <c r="F4" s="77"/>
      <c r="G4" s="77"/>
      <c r="H4" s="83"/>
      <c r="I4" s="83"/>
      <c r="J4" s="83"/>
      <c r="K4" s="141"/>
    </row>
    <row r="5" spans="1:12" x14ac:dyDescent="0.25">
      <c r="A5" s="77"/>
      <c r="B5" s="77"/>
      <c r="C5" s="77"/>
      <c r="D5" s="77"/>
      <c r="E5" s="77" t="s">
        <v>7710</v>
      </c>
      <c r="F5" s="77"/>
      <c r="G5" s="77"/>
      <c r="H5" s="51">
        <v>0.19</v>
      </c>
      <c r="I5" s="51">
        <v>0.19</v>
      </c>
      <c r="J5" s="51">
        <f>ROUND((H5-I5),5)</f>
        <v>0</v>
      </c>
      <c r="K5" s="141">
        <f>ROUND(IF(H5=0, IF(I5=0, 0, SIGN(-I5)), IF(I5=0, SIGN(H5), (H5-I5)/ABS(I5))),5)</f>
        <v>0</v>
      </c>
    </row>
    <row r="6" spans="1:12" x14ac:dyDescent="0.25">
      <c r="A6" s="77"/>
      <c r="B6" s="77"/>
      <c r="C6" s="77"/>
      <c r="D6" s="77"/>
      <c r="E6" s="77" t="s">
        <v>5</v>
      </c>
      <c r="F6" s="77"/>
      <c r="G6" s="77"/>
      <c r="H6" s="51"/>
      <c r="I6" s="51"/>
      <c r="J6" s="51"/>
      <c r="K6" s="141"/>
    </row>
    <row r="7" spans="1:12" x14ac:dyDescent="0.25">
      <c r="A7" s="77"/>
      <c r="B7" s="77"/>
      <c r="C7" s="77"/>
      <c r="D7" s="77"/>
      <c r="E7" s="77"/>
      <c r="F7" s="77" t="s">
        <v>6</v>
      </c>
      <c r="G7" s="77"/>
      <c r="H7" s="51">
        <v>0</v>
      </c>
      <c r="I7" s="51">
        <v>15000</v>
      </c>
      <c r="J7" s="51">
        <f>ROUND((H7-I7),5)</f>
        <v>-15000</v>
      </c>
      <c r="K7" s="141">
        <f>ROUND(IF(H7=0, IF(I7=0, 0, SIGN(-I7)), IF(I7=0, SIGN(H7), (H7-I7)/ABS(I7))),5)</f>
        <v>-1</v>
      </c>
    </row>
    <row r="8" spans="1:12" x14ac:dyDescent="0.25">
      <c r="A8" s="77"/>
      <c r="B8" s="77"/>
      <c r="C8" s="77"/>
      <c r="D8" s="77"/>
      <c r="E8" s="77"/>
      <c r="F8" s="77" t="s">
        <v>7477</v>
      </c>
      <c r="G8" s="77"/>
      <c r="H8" s="51">
        <v>0</v>
      </c>
      <c r="I8" s="51">
        <v>0</v>
      </c>
      <c r="J8" s="51">
        <f>ROUND((H8-I8),5)</f>
        <v>0</v>
      </c>
      <c r="K8" s="141">
        <f>ROUND(IF(H8=0, IF(I8=0, 0, SIGN(-I8)), IF(I8=0, SIGN(H8), (H8-I8)/ABS(I8))),5)</f>
        <v>0</v>
      </c>
    </row>
    <row r="9" spans="1:12" x14ac:dyDescent="0.25">
      <c r="A9" s="77"/>
      <c r="B9" s="77"/>
      <c r="C9" s="77"/>
      <c r="D9" s="77"/>
      <c r="E9" s="77"/>
      <c r="F9" s="77" t="s">
        <v>5224</v>
      </c>
      <c r="G9" s="77"/>
      <c r="H9" s="51">
        <v>3500</v>
      </c>
      <c r="I9" s="51">
        <v>0</v>
      </c>
      <c r="J9" s="51">
        <f>ROUND((H9-I9),5)</f>
        <v>3500</v>
      </c>
      <c r="K9" s="141">
        <f>ROUND(IF(H9=0, IF(I9=0, 0, SIGN(-I9)), IF(I9=0, SIGN(H9), (H9-I9)/ABS(I9))),5)</f>
        <v>1</v>
      </c>
    </row>
    <row r="10" spans="1:12" ht="15.75" thickBot="1" x14ac:dyDescent="0.3">
      <c r="A10" s="77"/>
      <c r="B10" s="77"/>
      <c r="C10" s="77"/>
      <c r="D10" s="77"/>
      <c r="E10" s="77"/>
      <c r="F10" s="77" t="s">
        <v>7</v>
      </c>
      <c r="G10" s="77"/>
      <c r="H10" s="52">
        <v>0</v>
      </c>
      <c r="I10" s="52">
        <v>6068.15</v>
      </c>
      <c r="J10" s="52">
        <f>ROUND((H10-I10),5)</f>
        <v>-6068.15</v>
      </c>
      <c r="K10" s="143">
        <f>ROUND(IF(H10=0, IF(I10=0, 0, SIGN(-I10)), IF(I10=0, SIGN(H10), (H10-I10)/ABS(I10))),5)</f>
        <v>-1</v>
      </c>
    </row>
    <row r="11" spans="1:12" x14ac:dyDescent="0.25">
      <c r="A11" s="77"/>
      <c r="B11" s="77"/>
      <c r="C11" s="77"/>
      <c r="D11" s="77"/>
      <c r="E11" s="77" t="s">
        <v>8</v>
      </c>
      <c r="F11" s="77"/>
      <c r="G11" s="77"/>
      <c r="H11" s="51">
        <f>ROUND(SUM(H6:H10),5)</f>
        <v>3500</v>
      </c>
      <c r="I11" s="51">
        <f>ROUND(SUM(I6:I10),5)</f>
        <v>21068.15</v>
      </c>
      <c r="J11" s="51">
        <f>ROUND((H11-I11),5)</f>
        <v>-17568.150000000001</v>
      </c>
      <c r="K11" s="141">
        <f>ROUND(IF(H11=0, IF(I11=0, 0, SIGN(-I11)), IF(I11=0, SIGN(H11), (H11-I11)/ABS(I11))),5)</f>
        <v>-0.83387</v>
      </c>
    </row>
    <row r="12" spans="1:12" x14ac:dyDescent="0.25">
      <c r="A12" s="77"/>
      <c r="B12" s="77"/>
      <c r="C12" s="77"/>
      <c r="D12" s="77"/>
      <c r="E12" s="77" t="s">
        <v>9</v>
      </c>
      <c r="F12" s="77"/>
      <c r="G12" s="77"/>
      <c r="H12" s="51"/>
      <c r="I12" s="51"/>
      <c r="J12" s="51"/>
      <c r="K12" s="141"/>
    </row>
    <row r="13" spans="1:12" x14ac:dyDescent="0.25">
      <c r="A13" s="77"/>
      <c r="B13" s="77"/>
      <c r="C13" s="77"/>
      <c r="D13" s="77"/>
      <c r="E13" s="77"/>
      <c r="F13" s="77" t="s">
        <v>10</v>
      </c>
      <c r="G13" s="77"/>
      <c r="H13" s="51">
        <v>42650.02</v>
      </c>
      <c r="I13" s="51">
        <v>24500</v>
      </c>
      <c r="J13" s="51">
        <f>ROUND((H13-I13),5)</f>
        <v>18150.02</v>
      </c>
      <c r="K13" s="141">
        <f>ROUND(IF(H13=0, IF(I13=0, 0, SIGN(-I13)), IF(I13=0, SIGN(H13), (H13-I13)/ABS(I13))),5)</f>
        <v>0.74082000000000003</v>
      </c>
    </row>
    <row r="14" spans="1:12" x14ac:dyDescent="0.25">
      <c r="A14" s="77"/>
      <c r="B14" s="77"/>
      <c r="C14" s="77"/>
      <c r="D14" s="77"/>
      <c r="E14" s="77"/>
      <c r="F14" s="77" t="s">
        <v>7818</v>
      </c>
      <c r="G14" s="77"/>
      <c r="H14" s="51">
        <v>500</v>
      </c>
      <c r="I14" s="51">
        <v>0</v>
      </c>
      <c r="J14" s="51">
        <f>ROUND((H14-I14),5)</f>
        <v>500</v>
      </c>
      <c r="K14" s="141">
        <f>ROUND(IF(H14=0, IF(I14=0, 0, SIGN(-I14)), IF(I14=0, SIGN(H14), (H14-I14)/ABS(I14))),5)</f>
        <v>1</v>
      </c>
    </row>
    <row r="15" spans="1:12" ht="15.75" thickBot="1" x14ac:dyDescent="0.3">
      <c r="A15" s="77"/>
      <c r="B15" s="77"/>
      <c r="C15" s="77"/>
      <c r="D15" s="77"/>
      <c r="E15" s="77"/>
      <c r="F15" s="77" t="s">
        <v>11</v>
      </c>
      <c r="G15" s="77"/>
      <c r="H15" s="52">
        <v>20630</v>
      </c>
      <c r="I15" s="52">
        <v>19598</v>
      </c>
      <c r="J15" s="52">
        <f>ROUND((H15-I15),5)</f>
        <v>1032</v>
      </c>
      <c r="K15" s="143">
        <f>ROUND(IF(H15=0, IF(I15=0, 0, SIGN(-I15)), IF(I15=0, SIGN(H15), (H15-I15)/ABS(I15))),5)</f>
        <v>5.2659999999999998E-2</v>
      </c>
    </row>
    <row r="16" spans="1:12" x14ac:dyDescent="0.25">
      <c r="A16" s="77"/>
      <c r="B16" s="77"/>
      <c r="C16" s="77"/>
      <c r="D16" s="77"/>
      <c r="E16" s="77" t="s">
        <v>12</v>
      </c>
      <c r="F16" s="77"/>
      <c r="G16" s="77"/>
      <c r="H16" s="51">
        <f>ROUND(SUM(H12:H15),5)</f>
        <v>63780.02</v>
      </c>
      <c r="I16" s="51">
        <f>ROUND(SUM(I12:I15),5)</f>
        <v>44098</v>
      </c>
      <c r="J16" s="51">
        <f>ROUND((H16-I16),5)</f>
        <v>19682.02</v>
      </c>
      <c r="K16" s="141">
        <f>ROUND(IF(H16=0, IF(I16=0, 0, SIGN(-I16)), IF(I16=0, SIGN(H16), (H16-I16)/ABS(I16))),5)</f>
        <v>0.44631999999999999</v>
      </c>
    </row>
    <row r="17" spans="1:11" x14ac:dyDescent="0.25">
      <c r="A17" s="77"/>
      <c r="B17" s="77"/>
      <c r="C17" s="77"/>
      <c r="D17" s="77"/>
      <c r="E17" s="77" t="s">
        <v>13</v>
      </c>
      <c r="F17" s="77"/>
      <c r="G17" s="77"/>
      <c r="H17" s="51"/>
      <c r="I17" s="51"/>
      <c r="J17" s="51"/>
      <c r="K17" s="141"/>
    </row>
    <row r="18" spans="1:11" x14ac:dyDescent="0.25">
      <c r="A18" s="77"/>
      <c r="B18" s="77"/>
      <c r="C18" s="77"/>
      <c r="D18" s="77"/>
      <c r="E18" s="77"/>
      <c r="F18" s="77" t="s">
        <v>14</v>
      </c>
      <c r="G18" s="77"/>
      <c r="H18" s="51">
        <v>0</v>
      </c>
      <c r="I18" s="51">
        <v>5359.08</v>
      </c>
      <c r="J18" s="51">
        <f>ROUND((H18-I18),5)</f>
        <v>-5359.08</v>
      </c>
      <c r="K18" s="141">
        <f>ROUND(IF(H18=0, IF(I18=0, 0, SIGN(-I18)), IF(I18=0, SIGN(H18), (H18-I18)/ABS(I18))),5)</f>
        <v>-1</v>
      </c>
    </row>
    <row r="19" spans="1:11" x14ac:dyDescent="0.25">
      <c r="A19" s="77"/>
      <c r="B19" s="77"/>
      <c r="C19" s="77"/>
      <c r="D19" s="77"/>
      <c r="E19" s="77"/>
      <c r="F19" s="77" t="s">
        <v>7471</v>
      </c>
      <c r="G19" s="77"/>
      <c r="H19" s="51">
        <v>0</v>
      </c>
      <c r="I19" s="51">
        <v>10</v>
      </c>
      <c r="J19" s="51">
        <f>ROUND((H19-I19),5)</f>
        <v>-10</v>
      </c>
      <c r="K19" s="141">
        <f>ROUND(IF(H19=0, IF(I19=0, 0, SIGN(-I19)), IF(I19=0, SIGN(H19), (H19-I19)/ABS(I19))),5)</f>
        <v>-1</v>
      </c>
    </row>
    <row r="20" spans="1:11" ht="15.75" thickBot="1" x14ac:dyDescent="0.3">
      <c r="A20" s="77"/>
      <c r="B20" s="77"/>
      <c r="C20" s="77"/>
      <c r="D20" s="77"/>
      <c r="E20" s="77"/>
      <c r="F20" s="77" t="s">
        <v>15</v>
      </c>
      <c r="G20" s="77"/>
      <c r="H20" s="51">
        <v>2059.23</v>
      </c>
      <c r="I20" s="51">
        <v>1906.03</v>
      </c>
      <c r="J20" s="51">
        <f>ROUND((H20-I20),5)</f>
        <v>153.19999999999999</v>
      </c>
      <c r="K20" s="141">
        <f>ROUND(IF(H20=0, IF(I20=0, 0, SIGN(-I20)), IF(I20=0, SIGN(H20), (H20-I20)/ABS(I20))),5)</f>
        <v>8.0379999999999993E-2</v>
      </c>
    </row>
    <row r="21" spans="1:11" ht="15.75" thickBot="1" x14ac:dyDescent="0.3">
      <c r="A21" s="77"/>
      <c r="B21" s="77"/>
      <c r="C21" s="77"/>
      <c r="D21" s="77"/>
      <c r="E21" s="77" t="s">
        <v>16</v>
      </c>
      <c r="F21" s="77"/>
      <c r="G21" s="77"/>
      <c r="H21" s="89">
        <f>ROUND(SUM(H17:H20),5)</f>
        <v>2059.23</v>
      </c>
      <c r="I21" s="89">
        <f>ROUND(SUM(I17:I20),5)</f>
        <v>7275.11</v>
      </c>
      <c r="J21" s="89">
        <f>ROUND((H21-I21),5)</f>
        <v>-5215.88</v>
      </c>
      <c r="K21" s="140">
        <f>ROUND(IF(H21=0, IF(I21=0, 0, SIGN(-I21)), IF(I21=0, SIGN(H21), (H21-I21)/ABS(I21))),5)</f>
        <v>-0.71694999999999998</v>
      </c>
    </row>
    <row r="22" spans="1:11" ht="15.75" thickBot="1" x14ac:dyDescent="0.3">
      <c r="A22" s="77"/>
      <c r="B22" s="77"/>
      <c r="C22" s="77"/>
      <c r="D22" s="77" t="s">
        <v>17</v>
      </c>
      <c r="E22" s="77"/>
      <c r="F22" s="77"/>
      <c r="G22" s="77"/>
      <c r="H22" s="54">
        <f>ROUND(SUM(H4:H5)+H11+H16+H21,5)</f>
        <v>69339.44</v>
      </c>
      <c r="I22" s="54">
        <f>ROUND(SUM(I4:I5)+I11+I16+I21,5)</f>
        <v>72441.45</v>
      </c>
      <c r="J22" s="54">
        <f>ROUND((H22-I22),5)</f>
        <v>-3102.01</v>
      </c>
      <c r="K22" s="142">
        <f>ROUND(IF(H22=0, IF(I22=0, 0, SIGN(-I22)), IF(I22=0, SIGN(H22), (H22-I22)/ABS(I22))),5)</f>
        <v>-4.2819999999999997E-2</v>
      </c>
    </row>
    <row r="23" spans="1:11" x14ac:dyDescent="0.25">
      <c r="A23" s="77"/>
      <c r="B23" s="77"/>
      <c r="C23" s="77" t="s">
        <v>18</v>
      </c>
      <c r="D23" s="77"/>
      <c r="E23" s="77"/>
      <c r="F23" s="77"/>
      <c r="G23" s="77"/>
      <c r="H23" s="51">
        <f>H22</f>
        <v>69339.44</v>
      </c>
      <c r="I23" s="51">
        <f>I22</f>
        <v>72441.45</v>
      </c>
      <c r="J23" s="51">
        <f>ROUND((H23-I23),5)</f>
        <v>-3102.01</v>
      </c>
      <c r="K23" s="141">
        <f>ROUND(IF(H23=0, IF(I23=0, 0, SIGN(-I23)), IF(I23=0, SIGN(H23), (H23-I23)/ABS(I23))),5)</f>
        <v>-4.2819999999999997E-2</v>
      </c>
    </row>
    <row r="24" spans="1:11" x14ac:dyDescent="0.25">
      <c r="A24" s="77"/>
      <c r="B24" s="77"/>
      <c r="C24" s="77"/>
      <c r="D24" s="77" t="s">
        <v>19</v>
      </c>
      <c r="E24" s="77"/>
      <c r="F24" s="77"/>
      <c r="G24" s="77"/>
      <c r="H24" s="51"/>
      <c r="I24" s="51"/>
      <c r="J24" s="51"/>
      <c r="K24" s="141"/>
    </row>
    <row r="25" spans="1:11" x14ac:dyDescent="0.25">
      <c r="A25" s="77"/>
      <c r="B25" s="77"/>
      <c r="C25" s="77"/>
      <c r="D25" s="77"/>
      <c r="E25" s="77" t="s">
        <v>20</v>
      </c>
      <c r="F25" s="77"/>
      <c r="G25" s="77"/>
      <c r="H25" s="51"/>
      <c r="I25" s="51"/>
      <c r="J25" s="51"/>
      <c r="K25" s="141"/>
    </row>
    <row r="26" spans="1:11" x14ac:dyDescent="0.25">
      <c r="A26" s="77"/>
      <c r="B26" s="77"/>
      <c r="C26" s="77"/>
      <c r="D26" s="77"/>
      <c r="E26" s="77"/>
      <c r="F26" s="77" t="s">
        <v>21</v>
      </c>
      <c r="G26" s="77"/>
      <c r="H26" s="51">
        <v>11.14</v>
      </c>
      <c r="I26" s="51">
        <v>104.46</v>
      </c>
      <c r="J26" s="51">
        <f>ROUND((H26-I26),5)</f>
        <v>-93.32</v>
      </c>
      <c r="K26" s="141">
        <f>ROUND(IF(H26=0, IF(I26=0, 0, SIGN(-I26)), IF(I26=0, SIGN(H26), (H26-I26)/ABS(I26))),5)</f>
        <v>-0.89336000000000004</v>
      </c>
    </row>
    <row r="27" spans="1:11" x14ac:dyDescent="0.25">
      <c r="A27" s="77"/>
      <c r="B27" s="77"/>
      <c r="C27" s="77"/>
      <c r="D27" s="77"/>
      <c r="E27" s="77"/>
      <c r="F27" s="77" t="s">
        <v>22</v>
      </c>
      <c r="G27" s="77"/>
      <c r="H27" s="51">
        <v>1945.73</v>
      </c>
      <c r="I27" s="51">
        <v>3674.34</v>
      </c>
      <c r="J27" s="51">
        <f>ROUND((H27-I27),5)</f>
        <v>-1728.61</v>
      </c>
      <c r="K27" s="141">
        <f>ROUND(IF(H27=0, IF(I27=0, 0, SIGN(-I27)), IF(I27=0, SIGN(H27), (H27-I27)/ABS(I27))),5)</f>
        <v>-0.47044999999999998</v>
      </c>
    </row>
    <row r="28" spans="1:11" x14ac:dyDescent="0.25">
      <c r="A28" s="77"/>
      <c r="B28" s="77"/>
      <c r="C28" s="77"/>
      <c r="D28" s="77"/>
      <c r="E28" s="77"/>
      <c r="F28" s="77" t="s">
        <v>23</v>
      </c>
      <c r="G28" s="77"/>
      <c r="H28" s="51">
        <v>0</v>
      </c>
      <c r="I28" s="51">
        <v>60</v>
      </c>
      <c r="J28" s="51">
        <f>ROUND((H28-I28),5)</f>
        <v>-60</v>
      </c>
      <c r="K28" s="141">
        <f>ROUND(IF(H28=0, IF(I28=0, 0, SIGN(-I28)), IF(I28=0, SIGN(H28), (H28-I28)/ABS(I28))),5)</f>
        <v>-1</v>
      </c>
    </row>
    <row r="29" spans="1:11" x14ac:dyDescent="0.25">
      <c r="A29" s="77"/>
      <c r="B29" s="77"/>
      <c r="C29" s="77"/>
      <c r="D29" s="77"/>
      <c r="E29" s="77"/>
      <c r="F29" s="77" t="s">
        <v>24</v>
      </c>
      <c r="G29" s="77"/>
      <c r="H29" s="51">
        <v>382.5</v>
      </c>
      <c r="I29" s="51">
        <v>382.5</v>
      </c>
      <c r="J29" s="51">
        <f>ROUND((H29-I29),5)</f>
        <v>0</v>
      </c>
      <c r="K29" s="141">
        <f>ROUND(IF(H29=0, IF(I29=0, 0, SIGN(-I29)), IF(I29=0, SIGN(H29), (H29-I29)/ABS(I29))),5)</f>
        <v>0</v>
      </c>
    </row>
    <row r="30" spans="1:11" x14ac:dyDescent="0.25">
      <c r="A30" s="77"/>
      <c r="B30" s="77"/>
      <c r="C30" s="77"/>
      <c r="D30" s="77"/>
      <c r="E30" s="77"/>
      <c r="F30" s="77" t="s">
        <v>25</v>
      </c>
      <c r="G30" s="77"/>
      <c r="H30" s="51"/>
      <c r="I30" s="51"/>
      <c r="J30" s="51"/>
      <c r="K30" s="141"/>
    </row>
    <row r="31" spans="1:11" x14ac:dyDescent="0.25">
      <c r="A31" s="77"/>
      <c r="B31" s="77"/>
      <c r="C31" s="77"/>
      <c r="D31" s="77"/>
      <c r="E31" s="77"/>
      <c r="F31" s="77"/>
      <c r="G31" s="77" t="s">
        <v>26</v>
      </c>
      <c r="H31" s="51">
        <v>507.08</v>
      </c>
      <c r="I31" s="51">
        <v>417.31</v>
      </c>
      <c r="J31" s="51">
        <f>ROUND((H31-I31),5)</f>
        <v>89.77</v>
      </c>
      <c r="K31" s="141">
        <f>ROUND(IF(H31=0, IF(I31=0, 0, SIGN(-I31)), IF(I31=0, SIGN(H31), (H31-I31)/ABS(I31))),5)</f>
        <v>0.21512000000000001</v>
      </c>
    </row>
    <row r="32" spans="1:11" ht="15.75" thickBot="1" x14ac:dyDescent="0.3">
      <c r="A32" s="77"/>
      <c r="B32" s="77"/>
      <c r="C32" s="77"/>
      <c r="D32" s="77"/>
      <c r="E32" s="77"/>
      <c r="F32" s="77"/>
      <c r="G32" s="77" t="s">
        <v>7525</v>
      </c>
      <c r="H32" s="52">
        <v>208.33</v>
      </c>
      <c r="I32" s="52">
        <v>0</v>
      </c>
      <c r="J32" s="52">
        <f>ROUND((H32-I32),5)</f>
        <v>208.33</v>
      </c>
      <c r="K32" s="143">
        <f>ROUND(IF(H32=0, IF(I32=0, 0, SIGN(-I32)), IF(I32=0, SIGN(H32), (H32-I32)/ABS(I32))),5)</f>
        <v>1</v>
      </c>
    </row>
    <row r="33" spans="1:11" x14ac:dyDescent="0.25">
      <c r="A33" s="77"/>
      <c r="B33" s="77"/>
      <c r="C33" s="77"/>
      <c r="D33" s="77"/>
      <c r="E33" s="77"/>
      <c r="F33" s="77" t="s">
        <v>27</v>
      </c>
      <c r="G33" s="77"/>
      <c r="H33" s="51">
        <f>ROUND(SUM(H30:H32),5)</f>
        <v>715.41</v>
      </c>
      <c r="I33" s="51">
        <f>ROUND(SUM(I30:I32),5)</f>
        <v>417.31</v>
      </c>
      <c r="J33" s="51">
        <f>ROUND((H33-I33),5)</f>
        <v>298.10000000000002</v>
      </c>
      <c r="K33" s="141">
        <f>ROUND(IF(H33=0, IF(I33=0, 0, SIGN(-I33)), IF(I33=0, SIGN(H33), (H33-I33)/ABS(I33))),5)</f>
        <v>0.71433999999999997</v>
      </c>
    </row>
    <row r="34" spans="1:11" x14ac:dyDescent="0.25">
      <c r="A34" s="77"/>
      <c r="B34" s="77"/>
      <c r="C34" s="77"/>
      <c r="D34" s="77"/>
      <c r="E34" s="77"/>
      <c r="F34" s="77" t="s">
        <v>28</v>
      </c>
      <c r="G34" s="77"/>
      <c r="H34" s="51">
        <v>1139.1099999999999</v>
      </c>
      <c r="I34" s="51">
        <v>794.67</v>
      </c>
      <c r="J34" s="51">
        <f>ROUND((H34-I34),5)</f>
        <v>344.44</v>
      </c>
      <c r="K34" s="141">
        <f>ROUND(IF(H34=0, IF(I34=0, 0, SIGN(-I34)), IF(I34=0, SIGN(H34), (H34-I34)/ABS(I34))),5)</f>
        <v>0.43343999999999999</v>
      </c>
    </row>
    <row r="35" spans="1:11" x14ac:dyDescent="0.25">
      <c r="A35" s="77"/>
      <c r="B35" s="77"/>
      <c r="C35" s="77"/>
      <c r="D35" s="77"/>
      <c r="E35" s="77"/>
      <c r="F35" s="77" t="s">
        <v>7436</v>
      </c>
      <c r="G35" s="77"/>
      <c r="H35" s="51">
        <f>14250-8500</f>
        <v>5750</v>
      </c>
      <c r="I35" s="51">
        <v>0</v>
      </c>
      <c r="J35" s="51">
        <f>ROUND((H35-I35),5)</f>
        <v>5750</v>
      </c>
      <c r="K35" s="141">
        <f>ROUND(IF(H35=0, IF(I35=0, 0, SIGN(-I35)), IF(I35=0, SIGN(H35), (H35-I35)/ABS(I35))),5)</f>
        <v>1</v>
      </c>
    </row>
    <row r="36" spans="1:11" x14ac:dyDescent="0.25">
      <c r="A36" s="77"/>
      <c r="B36" s="77"/>
      <c r="C36" s="77"/>
      <c r="D36" s="77"/>
      <c r="E36" s="77"/>
      <c r="F36" s="77" t="s">
        <v>7468</v>
      </c>
      <c r="G36" s="77"/>
      <c r="H36" s="51">
        <v>0</v>
      </c>
      <c r="I36" s="51">
        <v>57.17</v>
      </c>
      <c r="J36" s="51">
        <f>ROUND((H36-I36),5)</f>
        <v>-57.17</v>
      </c>
      <c r="K36" s="141">
        <f>ROUND(IF(H36=0, IF(I36=0, 0, SIGN(-I36)), IF(I36=0, SIGN(H36), (H36-I36)/ABS(I36))),5)</f>
        <v>-1</v>
      </c>
    </row>
    <row r="37" spans="1:11" x14ac:dyDescent="0.25">
      <c r="A37" s="77"/>
      <c r="B37" s="77"/>
      <c r="C37" s="77"/>
      <c r="D37" s="77"/>
      <c r="E37" s="77"/>
      <c r="F37" s="77" t="s">
        <v>29</v>
      </c>
      <c r="G37" s="77"/>
      <c r="H37" s="51"/>
      <c r="I37" s="51"/>
      <c r="J37" s="51"/>
      <c r="K37" s="141"/>
    </row>
    <row r="38" spans="1:11" x14ac:dyDescent="0.25">
      <c r="A38" s="77"/>
      <c r="B38" s="77"/>
      <c r="C38" s="77"/>
      <c r="D38" s="77"/>
      <c r="E38" s="77"/>
      <c r="F38" s="77"/>
      <c r="G38" s="77" t="s">
        <v>30</v>
      </c>
      <c r="H38" s="51">
        <v>1135.01</v>
      </c>
      <c r="I38" s="51">
        <v>-130.09</v>
      </c>
      <c r="J38" s="51">
        <f>ROUND((H38-I38),5)</f>
        <v>1265.0999999999999</v>
      </c>
      <c r="K38" s="141">
        <f>ROUND(IF(H38=0, IF(I38=0, 0, SIGN(-I38)), IF(I38=0, SIGN(H38), (H38-I38)/ABS(I38))),5)</f>
        <v>9.7248099999999997</v>
      </c>
    </row>
    <row r="39" spans="1:11" ht="15.75" thickBot="1" x14ac:dyDescent="0.3">
      <c r="A39" s="77"/>
      <c r="B39" s="77"/>
      <c r="C39" s="77"/>
      <c r="D39" s="77"/>
      <c r="E39" s="77"/>
      <c r="F39" s="77"/>
      <c r="G39" s="77" t="s">
        <v>7467</v>
      </c>
      <c r="H39" s="51">
        <v>140</v>
      </c>
      <c r="I39" s="51">
        <v>1727.81</v>
      </c>
      <c r="J39" s="51">
        <f>ROUND((H39-I39),5)</f>
        <v>-1587.81</v>
      </c>
      <c r="K39" s="141">
        <f>ROUND(IF(H39=0, IF(I39=0, 0, SIGN(-I39)), IF(I39=0, SIGN(H39), (H39-I39)/ABS(I39))),5)</f>
        <v>-0.91896999999999995</v>
      </c>
    </row>
    <row r="40" spans="1:11" ht="15.75" thickBot="1" x14ac:dyDescent="0.3">
      <c r="A40" s="77"/>
      <c r="B40" s="77"/>
      <c r="C40" s="77"/>
      <c r="D40" s="77"/>
      <c r="E40" s="77"/>
      <c r="F40" s="77" t="s">
        <v>31</v>
      </c>
      <c r="G40" s="77"/>
      <c r="H40" s="54">
        <f>ROUND(SUM(H37:H39),5)</f>
        <v>1275.01</v>
      </c>
      <c r="I40" s="54">
        <f>ROUND(SUM(I37:I39),5)</f>
        <v>1597.72</v>
      </c>
      <c r="J40" s="54">
        <f>ROUND((H40-I40),5)</f>
        <v>-322.70999999999998</v>
      </c>
      <c r="K40" s="142">
        <f>ROUND(IF(H40=0, IF(I40=0, 0, SIGN(-I40)), IF(I40=0, SIGN(H40), (H40-I40)/ABS(I40))),5)</f>
        <v>-0.20197999999999999</v>
      </c>
    </row>
    <row r="41" spans="1:11" x14ac:dyDescent="0.25">
      <c r="A41" s="77"/>
      <c r="B41" s="77"/>
      <c r="C41" s="77"/>
      <c r="D41" s="77"/>
      <c r="E41" s="77" t="s">
        <v>32</v>
      </c>
      <c r="F41" s="77"/>
      <c r="G41" s="77"/>
      <c r="H41" s="51">
        <f>ROUND(SUM(H25:H29)+SUM(H33:H36)+H40,5)</f>
        <v>11218.9</v>
      </c>
      <c r="I41" s="51">
        <f>ROUND(SUM(I25:I29)+SUM(I33:I36)+I40,5)</f>
        <v>7088.17</v>
      </c>
      <c r="J41" s="51">
        <f>ROUND((H41-I41),5)</f>
        <v>4130.7299999999996</v>
      </c>
      <c r="K41" s="141">
        <f>ROUND(IF(H41=0, IF(I41=0, 0, SIGN(-I41)), IF(I41=0, SIGN(H41), (H41-I41)/ABS(I41))),5)</f>
        <v>0.58275999999999994</v>
      </c>
    </row>
    <row r="42" spans="1:11" x14ac:dyDescent="0.25">
      <c r="A42" s="77"/>
      <c r="B42" s="77"/>
      <c r="C42" s="77"/>
      <c r="D42" s="77"/>
      <c r="E42" s="77" t="s">
        <v>33</v>
      </c>
      <c r="F42" s="77"/>
      <c r="G42" s="77"/>
      <c r="H42" s="51">
        <v>0</v>
      </c>
      <c r="I42" s="51">
        <v>295</v>
      </c>
      <c r="J42" s="51">
        <f>ROUND((H42-I42),5)</f>
        <v>-295</v>
      </c>
      <c r="K42" s="141">
        <f>ROUND(IF(H42=0, IF(I42=0, 0, SIGN(-I42)), IF(I42=0, SIGN(H42), (H42-I42)/ABS(I42))),5)</f>
        <v>-1</v>
      </c>
    </row>
    <row r="43" spans="1:11" x14ac:dyDescent="0.25">
      <c r="A43" s="77"/>
      <c r="B43" s="77"/>
      <c r="C43" s="77"/>
      <c r="D43" s="77"/>
      <c r="E43" s="77" t="s">
        <v>36</v>
      </c>
      <c r="F43" s="77"/>
      <c r="G43" s="77"/>
      <c r="H43" s="51">
        <v>6804.87</v>
      </c>
      <c r="I43" s="51">
        <v>74.98</v>
      </c>
      <c r="J43" s="51">
        <f>ROUND((H43-I43),5)</f>
        <v>6729.89</v>
      </c>
      <c r="K43" s="141">
        <f>ROUND(IF(H43=0, IF(I43=0, 0, SIGN(-I43)), IF(I43=0, SIGN(H43), (H43-I43)/ABS(I43))),5)</f>
        <v>89.755799999999994</v>
      </c>
    </row>
    <row r="44" spans="1:11" x14ac:dyDescent="0.25">
      <c r="A44" s="77"/>
      <c r="B44" s="77"/>
      <c r="C44" s="77"/>
      <c r="D44" s="77"/>
      <c r="E44" s="77" t="s">
        <v>39</v>
      </c>
      <c r="F44" s="77"/>
      <c r="G44" s="77"/>
      <c r="H44" s="51"/>
      <c r="I44" s="51"/>
      <c r="J44" s="51"/>
      <c r="K44" s="141"/>
    </row>
    <row r="45" spans="1:11" x14ac:dyDescent="0.25">
      <c r="A45" s="77"/>
      <c r="B45" s="77"/>
      <c r="C45" s="77"/>
      <c r="D45" s="77"/>
      <c r="E45" s="77"/>
      <c r="F45" s="77" t="s">
        <v>7464</v>
      </c>
      <c r="G45" s="77"/>
      <c r="H45" s="51">
        <v>0</v>
      </c>
      <c r="I45" s="51">
        <v>0</v>
      </c>
      <c r="J45" s="51">
        <f>ROUND((H45-I45),5)</f>
        <v>0</v>
      </c>
      <c r="K45" s="141">
        <f>ROUND(IF(H45=0, IF(I45=0, 0, SIGN(-I45)), IF(I45=0, SIGN(H45), (H45-I45)/ABS(I45))),5)</f>
        <v>0</v>
      </c>
    </row>
    <row r="46" spans="1:11" x14ac:dyDescent="0.25">
      <c r="A46" s="77"/>
      <c r="B46" s="77"/>
      <c r="C46" s="77"/>
      <c r="D46" s="77"/>
      <c r="E46" s="77"/>
      <c r="F46" s="77" t="s">
        <v>40</v>
      </c>
      <c r="G46" s="77"/>
      <c r="H46" s="51">
        <v>49629.66</v>
      </c>
      <c r="I46" s="51">
        <v>49764.83</v>
      </c>
      <c r="J46" s="51">
        <f>ROUND((H46-I46),5)</f>
        <v>-135.16999999999999</v>
      </c>
      <c r="K46" s="141">
        <f>ROUND(IF(H46=0, IF(I46=0, 0, SIGN(-I46)), IF(I46=0, SIGN(H46), (H46-I46)/ABS(I46))),5)</f>
        <v>-2.7200000000000002E-3</v>
      </c>
    </row>
    <row r="47" spans="1:11" x14ac:dyDescent="0.25">
      <c r="A47" s="77"/>
      <c r="B47" s="77"/>
      <c r="C47" s="77"/>
      <c r="D47" s="77"/>
      <c r="E47" s="77"/>
      <c r="F47" s="77" t="s">
        <v>41</v>
      </c>
      <c r="G47" s="77"/>
      <c r="H47" s="51">
        <v>12931.11</v>
      </c>
      <c r="I47" s="51">
        <v>16462.5</v>
      </c>
      <c r="J47" s="51">
        <f>ROUND((H47-I47),5)</f>
        <v>-3531.39</v>
      </c>
      <c r="K47" s="141">
        <f>ROUND(IF(H47=0, IF(I47=0, 0, SIGN(-I47)), IF(I47=0, SIGN(H47), (H47-I47)/ABS(I47))),5)</f>
        <v>-0.21451000000000001</v>
      </c>
    </row>
    <row r="48" spans="1:11" ht="15.75" thickBot="1" x14ac:dyDescent="0.3">
      <c r="A48" s="77"/>
      <c r="B48" s="77"/>
      <c r="C48" s="77"/>
      <c r="D48" s="77"/>
      <c r="E48" s="77"/>
      <c r="F48" s="77" t="s">
        <v>7696</v>
      </c>
      <c r="G48" s="77"/>
      <c r="H48" s="52">
        <v>5715.02</v>
      </c>
      <c r="I48" s="52">
        <v>0</v>
      </c>
      <c r="J48" s="52">
        <f>ROUND((H48-I48),5)</f>
        <v>5715.02</v>
      </c>
      <c r="K48" s="143">
        <f>ROUND(IF(H48=0, IF(I48=0, 0, SIGN(-I48)), IF(I48=0, SIGN(H48), (H48-I48)/ABS(I48))),5)</f>
        <v>1</v>
      </c>
    </row>
    <row r="49" spans="1:11" x14ac:dyDescent="0.25">
      <c r="A49" s="77"/>
      <c r="B49" s="77"/>
      <c r="C49" s="77"/>
      <c r="D49" s="77"/>
      <c r="E49" s="77" t="s">
        <v>42</v>
      </c>
      <c r="F49" s="77"/>
      <c r="G49" s="77"/>
      <c r="H49" s="51">
        <f>ROUND(SUM(H44:H48),5)</f>
        <v>68275.789999999994</v>
      </c>
      <c r="I49" s="51">
        <f>ROUND(SUM(I44:I48),5)</f>
        <v>66227.33</v>
      </c>
      <c r="J49" s="51">
        <f>ROUND((H49-I49),5)</f>
        <v>2048.46</v>
      </c>
      <c r="K49" s="141">
        <f>ROUND(IF(H49=0, IF(I49=0, 0, SIGN(-I49)), IF(I49=0, SIGN(H49), (H49-I49)/ABS(I49))),5)</f>
        <v>3.0929999999999999E-2</v>
      </c>
    </row>
    <row r="50" spans="1:11" x14ac:dyDescent="0.25">
      <c r="A50" s="77"/>
      <c r="B50" s="77"/>
      <c r="C50" s="77"/>
      <c r="D50" s="77"/>
      <c r="E50" s="77" t="s">
        <v>43</v>
      </c>
      <c r="F50" s="77"/>
      <c r="G50" s="77"/>
      <c r="H50" s="51"/>
      <c r="I50" s="51"/>
      <c r="J50" s="51"/>
      <c r="K50" s="141"/>
    </row>
    <row r="51" spans="1:11" x14ac:dyDescent="0.25">
      <c r="A51" s="77"/>
      <c r="B51" s="77"/>
      <c r="C51" s="77"/>
      <c r="D51" s="77"/>
      <c r="E51" s="77"/>
      <c r="F51" s="77" t="s">
        <v>7713</v>
      </c>
      <c r="G51" s="77"/>
      <c r="H51" s="51">
        <v>1269.68</v>
      </c>
      <c r="I51" s="51">
        <v>0</v>
      </c>
      <c r="J51" s="51">
        <f>ROUND((H51-I51),5)</f>
        <v>1269.68</v>
      </c>
      <c r="K51" s="141">
        <f>ROUND(IF(H51=0, IF(I51=0, 0, SIGN(-I51)), IF(I51=0, SIGN(H51), (H51-I51)/ABS(I51))),5)</f>
        <v>1</v>
      </c>
    </row>
    <row r="52" spans="1:11" x14ac:dyDescent="0.25">
      <c r="A52" s="77"/>
      <c r="B52" s="77"/>
      <c r="C52" s="77"/>
      <c r="D52" s="77"/>
      <c r="E52" s="77"/>
      <c r="F52" s="77" t="s">
        <v>7438</v>
      </c>
      <c r="G52" s="77"/>
      <c r="H52" s="51">
        <v>2001.99</v>
      </c>
      <c r="I52" s="51">
        <v>0</v>
      </c>
      <c r="J52" s="51">
        <f>ROUND((H52-I52),5)</f>
        <v>2001.99</v>
      </c>
      <c r="K52" s="141">
        <f>ROUND(IF(H52=0, IF(I52=0, 0, SIGN(-I52)), IF(I52=0, SIGN(H52), (H52-I52)/ABS(I52))),5)</f>
        <v>1</v>
      </c>
    </row>
    <row r="53" spans="1:11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52">
        <v>9000</v>
      </c>
      <c r="I53" s="52">
        <v>9000</v>
      </c>
      <c r="J53" s="52">
        <f>ROUND((H53-I53),5)</f>
        <v>0</v>
      </c>
      <c r="K53" s="143">
        <f>ROUND(IF(H53=0, IF(I53=0, 0, SIGN(-I53)), IF(I53=0, SIGN(H53), (H53-I53)/ABS(I53))),5)</f>
        <v>0</v>
      </c>
    </row>
    <row r="54" spans="1:11" x14ac:dyDescent="0.25">
      <c r="A54" s="77"/>
      <c r="B54" s="77"/>
      <c r="C54" s="77"/>
      <c r="D54" s="77"/>
      <c r="E54" s="77" t="s">
        <v>45</v>
      </c>
      <c r="F54" s="77"/>
      <c r="G54" s="77"/>
      <c r="H54" s="51">
        <f>ROUND(SUM(H50:H53),5)</f>
        <v>12271.67</v>
      </c>
      <c r="I54" s="51">
        <f>ROUND(SUM(I50:I53),5)</f>
        <v>9000</v>
      </c>
      <c r="J54" s="51">
        <f>ROUND((H54-I54),5)</f>
        <v>3271.67</v>
      </c>
      <c r="K54" s="141">
        <f>ROUND(IF(H54=0, IF(I54=0, 0, SIGN(-I54)), IF(I54=0, SIGN(H54), (H54-I54)/ABS(I54))),5)</f>
        <v>0.36352000000000001</v>
      </c>
    </row>
    <row r="55" spans="1:11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51">
        <v>3599</v>
      </c>
      <c r="I55" s="51">
        <v>242.34</v>
      </c>
      <c r="J55" s="51">
        <f>ROUND((H55-I55),5)</f>
        <v>3356.66</v>
      </c>
      <c r="K55" s="141">
        <f>ROUND(IF(H55=0, IF(I55=0, 0, SIGN(-I55)), IF(I55=0, SIGN(H55), (H55-I55)/ABS(I55))),5)</f>
        <v>13.851039999999999</v>
      </c>
    </row>
    <row r="56" spans="1:11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89">
        <f>ROUND(H24+SUM(H41:H43)+H49+SUM(H54:H55),5)</f>
        <v>102170.23</v>
      </c>
      <c r="I56" s="89">
        <f>ROUND(I24+SUM(I41:I43)+I49+SUM(I54:I55),5)</f>
        <v>82927.820000000007</v>
      </c>
      <c r="J56" s="89">
        <f>ROUND((H56-I56),5)</f>
        <v>19242.41</v>
      </c>
      <c r="K56" s="140">
        <f>ROUND(IF(H56=0, IF(I56=0, 0, SIGN(-I56)), IF(I56=0, SIGN(H56), (H56-I56)/ABS(I56))),5)</f>
        <v>0.23204</v>
      </c>
    </row>
    <row r="57" spans="1:11" ht="15.75" thickBot="1" x14ac:dyDescent="0.3">
      <c r="A57" s="77"/>
      <c r="B57" s="77" t="s">
        <v>48</v>
      </c>
      <c r="C57" s="77"/>
      <c r="D57" s="77"/>
      <c r="E57" s="77"/>
      <c r="F57" s="77"/>
      <c r="G57" s="77"/>
      <c r="H57" s="89">
        <f>ROUND(H3+H23-H56,5)</f>
        <v>-32830.79</v>
      </c>
      <c r="I57" s="89">
        <f>ROUND(I3+I23-I56,5)</f>
        <v>-10486.37</v>
      </c>
      <c r="J57" s="89">
        <f>ROUND((H57-I57),5)</f>
        <v>-22344.42</v>
      </c>
      <c r="K57" s="140">
        <f>ROUND(IF(H57=0, IF(I57=0, 0, SIGN(-I57)), IF(I57=0, SIGN(H57), (H57-I57)/ABS(I57))),5)</f>
        <v>-2.1308099999999999</v>
      </c>
    </row>
    <row r="58" spans="1:11" s="2" customFormat="1" ht="12" thickBot="1" x14ac:dyDescent="0.25">
      <c r="A58" s="77" t="s">
        <v>49</v>
      </c>
      <c r="B58" s="77"/>
      <c r="C58" s="77"/>
      <c r="D58" s="77"/>
      <c r="E58" s="77"/>
      <c r="F58" s="77"/>
      <c r="G58" s="77"/>
      <c r="H58" s="55">
        <f>H57</f>
        <v>-32830.79</v>
      </c>
      <c r="I58" s="55">
        <f>I57</f>
        <v>-10486.37</v>
      </c>
      <c r="J58" s="55">
        <f>ROUND((H58-I58),5)</f>
        <v>-22344.42</v>
      </c>
      <c r="K58" s="139">
        <f>ROUND(IF(H58=0, IF(I58=0, 0, SIGN(-I58)), IF(I58=0, SIGN(H58), (H58-I58)/ABS(I58))),5)</f>
        <v>-2.1308099999999999</v>
      </c>
    </row>
    <row r="59" spans="1:11" ht="15.75" thickTop="1" x14ac:dyDescent="0.25"/>
  </sheetData>
  <hyperlinks>
    <hyperlink ref="L2" location="Contents!A1" display="Contents" xr:uid="{709E406C-0CCB-4CFB-9C78-B3772BDEE90B}"/>
  </hyperlinks>
  <pageMargins left="0.7" right="0.7" top="0.75" bottom="0.75" header="0.3" footer="0.3"/>
  <pageSetup orientation="portrait" horizontalDpi="4294967295" verticalDpi="4294967295" r:id="rId1"/>
  <drawing r:id="rId2"/>
  <legacyDrawing r:id="rId3"/>
  <controls>
    <mc:AlternateContent xmlns:mc="http://schemas.openxmlformats.org/markup-compatibility/2006">
      <mc:Choice Requires="x14">
        <control shapeId="84994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4994" r:id="rId4" name="TextBox2"/>
      </mc:Fallback>
    </mc:AlternateContent>
    <mc:AlternateContent xmlns:mc="http://schemas.openxmlformats.org/markup-compatibility/2006">
      <mc:Choice Requires="x14">
        <control shapeId="84993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4993" r:id="rId6" name="TextBox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[1]Staffing!Z2+([1]Staffing!Z7*0.8)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([1]Staffing!Z4*0.75)+([1]Staffing!Z6*0.1)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([1]Staffing!Z8*0.5)+([1]Staffing!Z7*0.2)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([1]Staffing!Z8*0.5)+([1]Staffing!Z5*0.35)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([1]Staffing!Z5*0.1)+([1]Staffing!Z3*0.25)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([1]Staffing!Z5*0.1)+([1]Staffing!Z4*0.25)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([1]Staffing!Z5*0.45)+([1]Staffing!Z6*0.9)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[1]Staffing!Z3*0.75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/>
  <dimension ref="A1:G20"/>
  <sheetViews>
    <sheetView zoomScale="160" zoomScaleNormal="160" workbookViewId="0">
      <selection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" style="75" bestFit="1" customWidth="1"/>
    <col min="7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74"/>
      <c r="F1" s="87" t="s">
        <v>7819</v>
      </c>
      <c r="G1" s="39" t="s">
        <v>224</v>
      </c>
    </row>
    <row r="2" spans="1:7" ht="15.75" thickTop="1" x14ac:dyDescent="0.25">
      <c r="A2" s="77"/>
      <c r="B2" s="77"/>
      <c r="C2" s="77" t="s">
        <v>7735</v>
      </c>
      <c r="D2" s="77"/>
      <c r="E2" s="77"/>
      <c r="F2" s="83"/>
    </row>
    <row r="3" spans="1:7" x14ac:dyDescent="0.25">
      <c r="A3" s="77"/>
      <c r="B3" s="77"/>
      <c r="C3" s="77"/>
      <c r="D3" s="77" t="s">
        <v>49</v>
      </c>
      <c r="E3" s="77"/>
      <c r="F3" s="51">
        <v>-30280.42</v>
      </c>
    </row>
    <row r="4" spans="1:7" x14ac:dyDescent="0.25">
      <c r="A4" s="77"/>
      <c r="B4" s="77"/>
      <c r="C4" s="77"/>
      <c r="D4" s="77" t="s">
        <v>7734</v>
      </c>
      <c r="E4" s="77"/>
      <c r="F4" s="51"/>
    </row>
    <row r="5" spans="1:7" x14ac:dyDescent="0.25">
      <c r="A5" s="77"/>
      <c r="B5" s="77"/>
      <c r="C5" s="77"/>
      <c r="D5" s="77" t="s">
        <v>7733</v>
      </c>
      <c r="E5" s="77"/>
      <c r="F5" s="51"/>
    </row>
    <row r="6" spans="1:7" x14ac:dyDescent="0.25">
      <c r="A6" s="77"/>
      <c r="B6" s="77"/>
      <c r="C6" s="77"/>
      <c r="D6" s="77"/>
      <c r="E6" s="77" t="s">
        <v>53</v>
      </c>
      <c r="F6" s="51">
        <v>15582.25</v>
      </c>
    </row>
    <row r="7" spans="1:7" x14ac:dyDescent="0.25">
      <c r="A7" s="77"/>
      <c r="B7" s="77"/>
      <c r="C7" s="77"/>
      <c r="D7" s="77"/>
      <c r="E7" s="77" t="s">
        <v>62</v>
      </c>
      <c r="F7" s="51">
        <v>33400.06</v>
      </c>
    </row>
    <row r="8" spans="1:7" x14ac:dyDescent="0.25">
      <c r="A8" s="77"/>
      <c r="B8" s="77"/>
      <c r="C8" s="77"/>
      <c r="D8" s="77"/>
      <c r="E8" s="77" t="s">
        <v>7842</v>
      </c>
      <c r="F8" s="51">
        <v>-2550.37</v>
      </c>
    </row>
    <row r="9" spans="1:7" x14ac:dyDescent="0.25">
      <c r="A9" s="77"/>
      <c r="B9" s="77"/>
      <c r="C9" s="77"/>
      <c r="D9" s="77"/>
      <c r="E9" s="77" t="s">
        <v>93</v>
      </c>
      <c r="F9" s="51">
        <v>6200</v>
      </c>
    </row>
    <row r="10" spans="1:7" x14ac:dyDescent="0.25">
      <c r="A10" s="77"/>
      <c r="B10" s="77"/>
      <c r="C10" s="77"/>
      <c r="D10" s="77"/>
      <c r="E10" s="77" t="s">
        <v>7731</v>
      </c>
      <c r="F10" s="51">
        <v>10849.98</v>
      </c>
    </row>
    <row r="11" spans="1:7" ht="15.75" thickBot="1" x14ac:dyDescent="0.3">
      <c r="A11" s="77"/>
      <c r="B11" s="77"/>
      <c r="C11" s="77"/>
      <c r="D11" s="77"/>
      <c r="E11" s="77" t="s">
        <v>7730</v>
      </c>
      <c r="F11" s="52">
        <v>25000</v>
      </c>
    </row>
    <row r="12" spans="1:7" x14ac:dyDescent="0.25">
      <c r="A12" s="77"/>
      <c r="B12" s="77"/>
      <c r="C12" s="77" t="s">
        <v>7729</v>
      </c>
      <c r="D12" s="77"/>
      <c r="E12" s="77"/>
      <c r="F12" s="51">
        <f>ROUND(SUM(F2:F3)+SUM(F6:F11),5)</f>
        <v>58201.5</v>
      </c>
    </row>
    <row r="13" spans="1:7" x14ac:dyDescent="0.25">
      <c r="A13" s="77"/>
      <c r="B13" s="77"/>
      <c r="C13" s="77" t="s">
        <v>7728</v>
      </c>
      <c r="D13" s="77"/>
      <c r="E13" s="77"/>
      <c r="F13" s="51"/>
    </row>
    <row r="14" spans="1:7" x14ac:dyDescent="0.25">
      <c r="A14" s="77"/>
      <c r="B14" s="77"/>
      <c r="C14" s="77"/>
      <c r="D14" s="77" t="s">
        <v>86</v>
      </c>
      <c r="E14" s="77"/>
      <c r="F14" s="51">
        <v>-2928.9</v>
      </c>
    </row>
    <row r="15" spans="1:7" ht="15.75" thickBot="1" x14ac:dyDescent="0.3">
      <c r="A15" s="77"/>
      <c r="B15" s="77"/>
      <c r="C15" s="77"/>
      <c r="D15" s="77" t="s">
        <v>7727</v>
      </c>
      <c r="E15" s="77"/>
      <c r="F15" s="51">
        <v>-22964</v>
      </c>
    </row>
    <row r="16" spans="1:7" ht="15.75" thickBot="1" x14ac:dyDescent="0.3">
      <c r="A16" s="77"/>
      <c r="B16" s="77"/>
      <c r="C16" s="77" t="s">
        <v>7726</v>
      </c>
      <c r="D16" s="77"/>
      <c r="E16" s="77"/>
      <c r="F16" s="54">
        <f>ROUND(SUM(F13:F15),5)</f>
        <v>-25892.9</v>
      </c>
    </row>
    <row r="17" spans="1:6" x14ac:dyDescent="0.25">
      <c r="A17" s="77"/>
      <c r="B17" s="77" t="s">
        <v>7725</v>
      </c>
      <c r="C17" s="77"/>
      <c r="D17" s="77"/>
      <c r="E17" s="77"/>
      <c r="F17" s="51">
        <f>ROUND(F12+F16,5)</f>
        <v>32308.6</v>
      </c>
    </row>
    <row r="18" spans="1:6" s="2" customFormat="1" ht="12" thickBot="1" x14ac:dyDescent="0.25">
      <c r="A18" s="77"/>
      <c r="B18" s="77" t="s">
        <v>7724</v>
      </c>
      <c r="C18" s="77"/>
      <c r="D18" s="77"/>
      <c r="E18" s="77"/>
      <c r="F18" s="51">
        <v>1456601.47</v>
      </c>
    </row>
    <row r="19" spans="1:6" ht="15.75" thickBot="1" x14ac:dyDescent="0.3">
      <c r="A19" s="77" t="s">
        <v>7723</v>
      </c>
      <c r="B19" s="77"/>
      <c r="C19" s="77"/>
      <c r="D19" s="77"/>
      <c r="E19" s="77"/>
      <c r="F19" s="55">
        <f>ROUND(SUM(F17:F18),5)</f>
        <v>1488910.07</v>
      </c>
    </row>
    <row r="20" spans="1:6" ht="15.75" thickTop="1" x14ac:dyDescent="0.25"/>
  </sheetData>
  <hyperlinks>
    <hyperlink ref="G1" location="Contents!A1" display="Contents" xr:uid="{36BFAFAF-D0E7-4AFE-A323-E2BA2F160D42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4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4" r:id="rId4" name="TextBox6"/>
      </mc:Fallback>
    </mc:AlternateContent>
    <mc:AlternateContent xmlns:mc="http://schemas.openxmlformats.org/markup-compatibility/2006">
      <mc:Choice Requires="x14">
        <control shapeId="58373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3" r:id="rId6" name="TextBox5"/>
      </mc:Fallback>
    </mc:AlternateContent>
    <mc:AlternateContent xmlns:mc="http://schemas.openxmlformats.org/markup-compatibility/2006">
      <mc:Choice Requires="x14">
        <control shapeId="58369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8" name="TextBox1"/>
      </mc:Fallback>
    </mc:AlternateContent>
    <mc:AlternateContent xmlns:mc="http://schemas.openxmlformats.org/markup-compatibility/2006">
      <mc:Choice Requires="x14">
        <control shapeId="58370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10" name="TextBox2"/>
      </mc:Fallback>
    </mc:AlternateContent>
    <mc:AlternateContent xmlns:mc="http://schemas.openxmlformats.org/markup-compatibility/2006">
      <mc:Choice Requires="x14">
        <control shapeId="58371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12" name="TextBox3"/>
      </mc:Fallback>
    </mc:AlternateContent>
    <mc:AlternateContent xmlns:mc="http://schemas.openxmlformats.org/markup-compatibility/2006">
      <mc:Choice Requires="x14">
        <control shapeId="58372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14" name="TextBox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/>
  <dimension ref="A1:I27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" sqref="F2"/>
    </sheetView>
  </sheetViews>
  <sheetFormatPr defaultRowHeight="15" x14ac:dyDescent="0.25"/>
  <cols>
    <col min="1" max="1" width="3" style="2" customWidth="1"/>
    <col min="2" max="2" width="29.85546875" style="2" customWidth="1"/>
    <col min="3" max="5" width="7.85546875" style="75" bestFit="1" customWidth="1"/>
    <col min="6" max="6" width="7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7568</v>
      </c>
      <c r="C2" s="51">
        <v>0</v>
      </c>
      <c r="D2" s="51">
        <v>0</v>
      </c>
      <c r="E2" s="51">
        <v>0</v>
      </c>
      <c r="F2" s="51">
        <v>3868.87</v>
      </c>
      <c r="G2" s="51">
        <v>0</v>
      </c>
      <c r="H2" s="51">
        <f>ROUND(SUM(C2:G2),5)</f>
        <v>3868.87</v>
      </c>
    </row>
    <row r="3" spans="1:9" x14ac:dyDescent="0.25">
      <c r="A3" s="77"/>
      <c r="B3" s="77" t="s">
        <v>7749</v>
      </c>
      <c r="C3" s="51">
        <v>0</v>
      </c>
      <c r="D3" s="51">
        <v>844.44</v>
      </c>
      <c r="E3" s="51">
        <v>0</v>
      </c>
      <c r="F3" s="51">
        <v>0</v>
      </c>
      <c r="G3" s="51">
        <v>0</v>
      </c>
      <c r="H3" s="51">
        <f>ROUND(SUM(C3:G3),5)</f>
        <v>844.44</v>
      </c>
    </row>
    <row r="4" spans="1:9" x14ac:dyDescent="0.25">
      <c r="A4" s="77"/>
      <c r="B4" s="77" t="s">
        <v>7835</v>
      </c>
      <c r="C4" s="51">
        <v>0</v>
      </c>
      <c r="D4" s="51">
        <v>2550.37</v>
      </c>
      <c r="E4" s="51">
        <v>0</v>
      </c>
      <c r="F4" s="51">
        <v>0</v>
      </c>
      <c r="G4" s="51">
        <v>0</v>
      </c>
      <c r="H4" s="51">
        <f>ROUND(SUM(C4:G4),5)</f>
        <v>2550.37</v>
      </c>
    </row>
    <row r="5" spans="1:9" x14ac:dyDescent="0.25">
      <c r="A5" s="77"/>
      <c r="B5" s="77" t="s">
        <v>7834</v>
      </c>
      <c r="C5" s="51">
        <v>200</v>
      </c>
      <c r="D5" s="51">
        <v>400</v>
      </c>
      <c r="E5" s="51">
        <v>0</v>
      </c>
      <c r="F5" s="51">
        <v>0</v>
      </c>
      <c r="G5" s="51">
        <v>0</v>
      </c>
      <c r="H5" s="51">
        <f>ROUND(SUM(C5:G5),5)</f>
        <v>600</v>
      </c>
    </row>
    <row r="6" spans="1:9" x14ac:dyDescent="0.25">
      <c r="A6" s="77"/>
      <c r="B6" s="77" t="s">
        <v>850</v>
      </c>
      <c r="C6" s="51">
        <v>0</v>
      </c>
      <c r="D6" s="51">
        <v>0</v>
      </c>
      <c r="E6" s="51">
        <v>10694.2</v>
      </c>
      <c r="F6" s="51">
        <v>0</v>
      </c>
      <c r="G6" s="51">
        <v>0</v>
      </c>
      <c r="H6" s="51">
        <f>ROUND(SUM(C6:G6),5)</f>
        <v>10694.2</v>
      </c>
    </row>
    <row r="7" spans="1:9" x14ac:dyDescent="0.25">
      <c r="A7" s="77"/>
      <c r="B7" s="77" t="s">
        <v>7748</v>
      </c>
      <c r="C7" s="51">
        <v>0</v>
      </c>
      <c r="D7" s="51">
        <v>396.1</v>
      </c>
      <c r="E7" s="51">
        <v>0</v>
      </c>
      <c r="F7" s="51">
        <v>0</v>
      </c>
      <c r="G7" s="51">
        <v>0</v>
      </c>
      <c r="H7" s="51">
        <f>ROUND(SUM(C7:G7),5)</f>
        <v>396.1</v>
      </c>
    </row>
    <row r="8" spans="1:9" x14ac:dyDescent="0.25">
      <c r="A8" s="77"/>
      <c r="B8" s="77" t="s">
        <v>1837</v>
      </c>
      <c r="C8" s="51">
        <v>0</v>
      </c>
      <c r="D8" s="51">
        <v>200</v>
      </c>
      <c r="E8" s="51">
        <v>0</v>
      </c>
      <c r="F8" s="51">
        <v>0</v>
      </c>
      <c r="G8" s="51">
        <v>0</v>
      </c>
      <c r="H8" s="51">
        <f>ROUND(SUM(C8:G8),5)</f>
        <v>200</v>
      </c>
    </row>
    <row r="9" spans="1:9" x14ac:dyDescent="0.25">
      <c r="A9" s="77"/>
      <c r="B9" s="77" t="s">
        <v>7747</v>
      </c>
      <c r="C9" s="51">
        <v>0</v>
      </c>
      <c r="D9" s="51">
        <v>227</v>
      </c>
      <c r="E9" s="51">
        <v>0</v>
      </c>
      <c r="F9" s="51">
        <v>0</v>
      </c>
      <c r="G9" s="51">
        <v>0</v>
      </c>
      <c r="H9" s="51">
        <f>ROUND(SUM(C9:G9),5)</f>
        <v>227</v>
      </c>
    </row>
    <row r="10" spans="1:9" x14ac:dyDescent="0.25">
      <c r="A10" s="77"/>
      <c r="B10" s="77" t="s">
        <v>271</v>
      </c>
      <c r="C10" s="51">
        <v>0</v>
      </c>
      <c r="D10" s="51">
        <v>1127.22</v>
      </c>
      <c r="E10" s="51">
        <v>0</v>
      </c>
      <c r="F10" s="51">
        <v>0</v>
      </c>
      <c r="G10" s="51">
        <v>0</v>
      </c>
      <c r="H10" s="51">
        <f>ROUND(SUM(C10:G10),5)</f>
        <v>1127.22</v>
      </c>
    </row>
    <row r="11" spans="1:9" x14ac:dyDescent="0.25">
      <c r="A11" s="77"/>
      <c r="B11" s="77" t="s">
        <v>7535</v>
      </c>
      <c r="C11" s="51">
        <v>0</v>
      </c>
      <c r="D11" s="51">
        <v>400</v>
      </c>
      <c r="E11" s="51">
        <v>0</v>
      </c>
      <c r="F11" s="51">
        <v>0</v>
      </c>
      <c r="G11" s="51">
        <v>0</v>
      </c>
      <c r="H11" s="51">
        <f>ROUND(SUM(C11:G11),5)</f>
        <v>400</v>
      </c>
    </row>
    <row r="12" spans="1:9" x14ac:dyDescent="0.25">
      <c r="A12" s="77"/>
      <c r="B12" s="77" t="s">
        <v>604</v>
      </c>
      <c r="C12" s="51">
        <v>0</v>
      </c>
      <c r="D12" s="51">
        <v>400</v>
      </c>
      <c r="E12" s="51">
        <v>0</v>
      </c>
      <c r="F12" s="51">
        <v>0</v>
      </c>
      <c r="G12" s="51">
        <v>0</v>
      </c>
      <c r="H12" s="51">
        <f>ROUND(SUM(C12:G12),5)</f>
        <v>400</v>
      </c>
    </row>
    <row r="13" spans="1:9" x14ac:dyDescent="0.25">
      <c r="A13" s="77"/>
      <c r="B13" s="77" t="s">
        <v>4335</v>
      </c>
      <c r="C13" s="51">
        <v>0</v>
      </c>
      <c r="D13" s="51">
        <v>200</v>
      </c>
      <c r="E13" s="51">
        <v>0</v>
      </c>
      <c r="F13" s="51">
        <v>0</v>
      </c>
      <c r="G13" s="51">
        <v>0</v>
      </c>
      <c r="H13" s="51">
        <f>ROUND(SUM(C13:G13),5)</f>
        <v>200</v>
      </c>
    </row>
    <row r="14" spans="1:9" x14ac:dyDescent="0.25">
      <c r="A14" s="77"/>
      <c r="B14" s="77" t="s">
        <v>7833</v>
      </c>
      <c r="C14" s="51">
        <v>8500</v>
      </c>
      <c r="D14" s="51">
        <v>0</v>
      </c>
      <c r="E14" s="51">
        <v>0</v>
      </c>
      <c r="F14" s="51">
        <v>0</v>
      </c>
      <c r="G14" s="51">
        <v>0</v>
      </c>
      <c r="H14" s="51">
        <f>ROUND(SUM(C14:G14),5)</f>
        <v>8500</v>
      </c>
    </row>
    <row r="15" spans="1:9" x14ac:dyDescent="0.25">
      <c r="A15" s="77"/>
      <c r="B15" s="77" t="s">
        <v>2385</v>
      </c>
      <c r="C15" s="51">
        <v>0</v>
      </c>
      <c r="D15" s="51">
        <v>1269.68</v>
      </c>
      <c r="E15" s="51">
        <v>0</v>
      </c>
      <c r="F15" s="51">
        <v>0</v>
      </c>
      <c r="G15" s="51">
        <v>0</v>
      </c>
      <c r="H15" s="51">
        <f>ROUND(SUM(C15:G15),5)</f>
        <v>1269.68</v>
      </c>
    </row>
    <row r="16" spans="1:9" x14ac:dyDescent="0.25">
      <c r="A16" s="77"/>
      <c r="B16" s="77" t="s">
        <v>7566</v>
      </c>
      <c r="C16" s="51">
        <v>0</v>
      </c>
      <c r="D16" s="51">
        <v>800</v>
      </c>
      <c r="E16" s="51">
        <v>0</v>
      </c>
      <c r="F16" s="51">
        <v>0</v>
      </c>
      <c r="G16" s="51">
        <v>0</v>
      </c>
      <c r="H16" s="51">
        <f>ROUND(SUM(C16:G16),5)</f>
        <v>800</v>
      </c>
    </row>
    <row r="17" spans="1:8" x14ac:dyDescent="0.25">
      <c r="A17" s="77"/>
      <c r="B17" s="77" t="s">
        <v>7746</v>
      </c>
      <c r="C17" s="51">
        <v>0</v>
      </c>
      <c r="D17" s="51">
        <v>400</v>
      </c>
      <c r="E17" s="51">
        <v>0</v>
      </c>
      <c r="F17" s="51">
        <v>0</v>
      </c>
      <c r="G17" s="51">
        <v>0</v>
      </c>
      <c r="H17" s="51">
        <f>ROUND(SUM(C17:G17),5)</f>
        <v>400</v>
      </c>
    </row>
    <row r="18" spans="1:8" x14ac:dyDescent="0.25">
      <c r="A18" s="77"/>
      <c r="B18" s="77" t="s">
        <v>7745</v>
      </c>
      <c r="C18" s="51">
        <v>0</v>
      </c>
      <c r="D18" s="51">
        <v>1047.0999999999999</v>
      </c>
      <c r="E18" s="51">
        <v>0</v>
      </c>
      <c r="F18" s="51">
        <v>0</v>
      </c>
      <c r="G18" s="51">
        <v>0</v>
      </c>
      <c r="H18" s="51">
        <f>ROUND(SUM(C18:G18),5)</f>
        <v>1047.0999999999999</v>
      </c>
    </row>
    <row r="19" spans="1:8" x14ac:dyDescent="0.25">
      <c r="A19" s="77"/>
      <c r="B19" s="77" t="s">
        <v>5994</v>
      </c>
      <c r="C19" s="51">
        <v>0</v>
      </c>
      <c r="D19" s="51">
        <v>399</v>
      </c>
      <c r="E19" s="51">
        <v>0</v>
      </c>
      <c r="F19" s="51">
        <v>0</v>
      </c>
      <c r="G19" s="51">
        <v>0</v>
      </c>
      <c r="H19" s="51">
        <f>ROUND(SUM(C19:G19),5)</f>
        <v>399</v>
      </c>
    </row>
    <row r="20" spans="1:8" x14ac:dyDescent="0.25">
      <c r="A20" s="77"/>
      <c r="B20" s="77" t="s">
        <v>7832</v>
      </c>
      <c r="C20" s="51">
        <v>21096</v>
      </c>
      <c r="D20" s="51">
        <v>0</v>
      </c>
      <c r="E20" s="51">
        <v>0</v>
      </c>
      <c r="F20" s="51">
        <v>0</v>
      </c>
      <c r="G20" s="51">
        <v>0</v>
      </c>
      <c r="H20" s="51">
        <f>ROUND(SUM(C20:G20),5)</f>
        <v>21096</v>
      </c>
    </row>
    <row r="21" spans="1:8" x14ac:dyDescent="0.25">
      <c r="A21" s="77"/>
      <c r="B21" s="77" t="s">
        <v>7694</v>
      </c>
      <c r="C21" s="51">
        <v>2001.99</v>
      </c>
      <c r="D21" s="51">
        <v>0</v>
      </c>
      <c r="E21" s="51">
        <v>0</v>
      </c>
      <c r="F21" s="51">
        <v>0</v>
      </c>
      <c r="G21" s="51">
        <v>0</v>
      </c>
      <c r="H21" s="51">
        <f>ROUND(SUM(C21:G21),5)</f>
        <v>2001.99</v>
      </c>
    </row>
    <row r="22" spans="1:8" x14ac:dyDescent="0.25">
      <c r="A22" s="77"/>
      <c r="B22" s="77" t="s">
        <v>264</v>
      </c>
      <c r="C22" s="51">
        <v>0</v>
      </c>
      <c r="D22" s="51">
        <v>0</v>
      </c>
      <c r="E22" s="51">
        <v>4208.41</v>
      </c>
      <c r="F22" s="51">
        <v>0</v>
      </c>
      <c r="G22" s="51">
        <v>0</v>
      </c>
      <c r="H22" s="51">
        <f>ROUND(SUM(C22:G22),5)</f>
        <v>4208.41</v>
      </c>
    </row>
    <row r="23" spans="1:8" x14ac:dyDescent="0.25">
      <c r="A23" s="77"/>
      <c r="B23" s="77" t="s">
        <v>263</v>
      </c>
      <c r="C23" s="51">
        <v>0</v>
      </c>
      <c r="D23" s="51">
        <v>0</v>
      </c>
      <c r="E23" s="51">
        <v>0</v>
      </c>
      <c r="F23" s="51">
        <v>0</v>
      </c>
      <c r="G23" s="51">
        <v>-511.84</v>
      </c>
      <c r="H23" s="51">
        <f>ROUND(SUM(C23:G23),5)</f>
        <v>-511.84</v>
      </c>
    </row>
    <row r="24" spans="1:8" x14ac:dyDescent="0.25">
      <c r="A24" s="77"/>
      <c r="B24" s="77" t="s">
        <v>7744</v>
      </c>
      <c r="C24" s="51">
        <v>1868</v>
      </c>
      <c r="D24" s="51">
        <v>171.84</v>
      </c>
      <c r="E24" s="51">
        <v>0</v>
      </c>
      <c r="F24" s="51">
        <v>0</v>
      </c>
      <c r="G24" s="51">
        <v>0</v>
      </c>
      <c r="H24" s="51">
        <f>ROUND(SUM(C24:G24),5)</f>
        <v>2039.84</v>
      </c>
    </row>
    <row r="25" spans="1:8" ht="15.75" thickBot="1" x14ac:dyDescent="0.3">
      <c r="A25" s="77"/>
      <c r="B25" s="77" t="s">
        <v>261</v>
      </c>
      <c r="C25" s="51">
        <v>15584.87</v>
      </c>
      <c r="D25" s="51">
        <v>0</v>
      </c>
      <c r="E25" s="51">
        <v>0</v>
      </c>
      <c r="F25" s="51">
        <v>0</v>
      </c>
      <c r="G25" s="51">
        <v>0</v>
      </c>
      <c r="H25" s="51">
        <f>ROUND(SUM(C25:G25),5)</f>
        <v>15584.87</v>
      </c>
    </row>
    <row r="26" spans="1:8" s="2" customFormat="1" ht="12" thickBot="1" x14ac:dyDescent="0.25">
      <c r="A26" s="77" t="s">
        <v>2</v>
      </c>
      <c r="B26" s="77"/>
      <c r="C26" s="55">
        <f>ROUND(SUM(C2:C25),5)</f>
        <v>49250.86</v>
      </c>
      <c r="D26" s="55">
        <f>ROUND(SUM(D2:D25),5)</f>
        <v>10832.75</v>
      </c>
      <c r="E26" s="55">
        <f>ROUND(SUM(E2:E25),5)</f>
        <v>14902.61</v>
      </c>
      <c r="F26" s="55">
        <f>ROUND(SUM(F2:F25),5)</f>
        <v>3868.87</v>
      </c>
      <c r="G26" s="55">
        <f>ROUND(SUM(G2:G25),5)</f>
        <v>-511.84</v>
      </c>
      <c r="H26" s="55">
        <f>ROUND(SUM(C26:G26),5)</f>
        <v>78343.25</v>
      </c>
    </row>
    <row r="27" spans="1:8" ht="15.75" thickTop="1" x14ac:dyDescent="0.25"/>
  </sheetData>
  <hyperlinks>
    <hyperlink ref="I1" location="Contents!A1" display="Contents" xr:uid="{BA41DB8D-FCBA-40AD-BC85-2AA6FCBC253D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39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8" r:id="rId4" name="TextBox6"/>
      </mc:Fallback>
    </mc:AlternateContent>
    <mc:AlternateContent xmlns:mc="http://schemas.openxmlformats.org/markup-compatibility/2006">
      <mc:Choice Requires="x14">
        <control shapeId="5939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7" r:id="rId6" name="TextBox5"/>
      </mc:Fallback>
    </mc:AlternateContent>
    <mc:AlternateContent xmlns:mc="http://schemas.openxmlformats.org/markup-compatibility/2006">
      <mc:Choice Requires="x14">
        <control shapeId="5939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8" name="TextBox1"/>
      </mc:Fallback>
    </mc:AlternateContent>
    <mc:AlternateContent xmlns:mc="http://schemas.openxmlformats.org/markup-compatibility/2006">
      <mc:Choice Requires="x14">
        <control shapeId="5939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10" name="TextBox2"/>
      </mc:Fallback>
    </mc:AlternateContent>
    <mc:AlternateContent xmlns:mc="http://schemas.openxmlformats.org/markup-compatibility/2006">
      <mc:Choice Requires="x14">
        <control shapeId="5939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12" name="TextBox3"/>
      </mc:Fallback>
    </mc:AlternateContent>
    <mc:AlternateContent xmlns:mc="http://schemas.openxmlformats.org/markup-compatibility/2006">
      <mc:Choice Requires="x14">
        <control shapeId="5939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14" name="TextBox4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/>
  <dimension ref="A1:I43"/>
  <sheetViews>
    <sheetView zoomScale="148" zoomScaleNormal="148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3" width="7.85546875" style="75" bestFit="1" customWidth="1"/>
    <col min="4" max="4" width="7" style="75" bestFit="1" customWidth="1"/>
    <col min="5" max="5" width="8.42578125" style="75" bestFit="1" customWidth="1"/>
    <col min="6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0</v>
      </c>
      <c r="G2" s="51">
        <v>2000</v>
      </c>
      <c r="H2" s="51">
        <f>ROUND(SUM(C2:G2),5)</f>
        <v>2000</v>
      </c>
    </row>
    <row r="3" spans="1:9" x14ac:dyDescent="0.25">
      <c r="A3" s="77"/>
      <c r="B3" s="77" t="s">
        <v>7754</v>
      </c>
      <c r="C3" s="51">
        <v>0</v>
      </c>
      <c r="D3" s="51">
        <v>2000</v>
      </c>
      <c r="E3" s="51">
        <v>0</v>
      </c>
      <c r="F3" s="51">
        <v>0</v>
      </c>
      <c r="G3" s="51">
        <v>0</v>
      </c>
      <c r="H3" s="51">
        <f>ROUND(SUM(C3:G3),5)</f>
        <v>2000</v>
      </c>
    </row>
    <row r="4" spans="1:9" x14ac:dyDescent="0.25">
      <c r="A4" s="77"/>
      <c r="B4" s="77" t="s">
        <v>254</v>
      </c>
      <c r="C4" s="51">
        <v>0</v>
      </c>
      <c r="D4" s="51">
        <v>0</v>
      </c>
      <c r="E4" s="51">
        <v>0</v>
      </c>
      <c r="F4" s="51">
        <v>0</v>
      </c>
      <c r="G4" s="51">
        <v>5000</v>
      </c>
      <c r="H4" s="51">
        <f>ROUND(SUM(C4:G4),5)</f>
        <v>5000</v>
      </c>
    </row>
    <row r="5" spans="1:9" x14ac:dyDescent="0.25">
      <c r="A5" s="77"/>
      <c r="B5" s="77" t="s">
        <v>253</v>
      </c>
      <c r="C5" s="51">
        <v>0</v>
      </c>
      <c r="D5" s="51">
        <v>0</v>
      </c>
      <c r="E5" s="51">
        <v>0</v>
      </c>
      <c r="F5" s="51">
        <v>0</v>
      </c>
      <c r="G5" s="51">
        <v>-132.5</v>
      </c>
      <c r="H5" s="51">
        <f>ROUND(SUM(C5:G5),5)</f>
        <v>-132.5</v>
      </c>
    </row>
    <row r="6" spans="1:9" x14ac:dyDescent="0.25">
      <c r="A6" s="77"/>
      <c r="B6" s="77" t="s">
        <v>252</v>
      </c>
      <c r="C6" s="51">
        <v>0</v>
      </c>
      <c r="D6" s="51">
        <v>0</v>
      </c>
      <c r="E6" s="51">
        <v>-45000</v>
      </c>
      <c r="F6" s="51">
        <v>0</v>
      </c>
      <c r="G6" s="51">
        <v>-9012.77</v>
      </c>
      <c r="H6" s="51">
        <f>ROUND(SUM(C6:G6),5)</f>
        <v>-54012.77</v>
      </c>
    </row>
    <row r="7" spans="1:9" x14ac:dyDescent="0.25">
      <c r="A7" s="77"/>
      <c r="B7" s="77" t="s">
        <v>7753</v>
      </c>
      <c r="C7" s="51">
        <v>10000</v>
      </c>
      <c r="D7" s="51">
        <v>0</v>
      </c>
      <c r="E7" s="51">
        <v>0</v>
      </c>
      <c r="F7" s="51">
        <v>0</v>
      </c>
      <c r="G7" s="51">
        <v>0</v>
      </c>
      <c r="H7" s="51">
        <f>ROUND(SUM(C7:G7),5)</f>
        <v>10000</v>
      </c>
    </row>
    <row r="8" spans="1:9" x14ac:dyDescent="0.25">
      <c r="A8" s="77"/>
      <c r="B8" s="77" t="s">
        <v>7752</v>
      </c>
      <c r="C8" s="51">
        <v>800</v>
      </c>
      <c r="D8" s="51">
        <v>0</v>
      </c>
      <c r="E8" s="51">
        <v>0</v>
      </c>
      <c r="F8" s="51">
        <v>0</v>
      </c>
      <c r="G8" s="51">
        <v>0</v>
      </c>
      <c r="H8" s="51">
        <f>ROUND(SUM(C8:G8),5)</f>
        <v>800</v>
      </c>
    </row>
    <row r="9" spans="1:9" x14ac:dyDescent="0.25">
      <c r="A9" s="77"/>
      <c r="B9" s="77" t="s">
        <v>7741</v>
      </c>
      <c r="C9" s="51">
        <v>0</v>
      </c>
      <c r="D9" s="51">
        <v>0</v>
      </c>
      <c r="E9" s="51">
        <v>0</v>
      </c>
      <c r="F9" s="51">
        <v>650.32000000000005</v>
      </c>
      <c r="G9" s="51">
        <v>0</v>
      </c>
      <c r="H9" s="51">
        <f>ROUND(SUM(C9:G9),5)</f>
        <v>650.32000000000005</v>
      </c>
    </row>
    <row r="10" spans="1:9" x14ac:dyDescent="0.25">
      <c r="A10" s="77"/>
      <c r="B10" s="77" t="s">
        <v>251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f>ROUND(SUM(C10:G10),5)</f>
        <v>0</v>
      </c>
    </row>
    <row r="11" spans="1:9" x14ac:dyDescent="0.25">
      <c r="A11" s="77"/>
      <c r="B11" s="77" t="s">
        <v>7740</v>
      </c>
      <c r="C11" s="51">
        <v>0</v>
      </c>
      <c r="D11" s="51">
        <v>0</v>
      </c>
      <c r="E11" s="51">
        <v>24999</v>
      </c>
      <c r="F11" s="51">
        <v>0</v>
      </c>
      <c r="G11" s="51">
        <v>0</v>
      </c>
      <c r="H11" s="51">
        <f>ROUND(SUM(C11:G11),5)</f>
        <v>24999</v>
      </c>
    </row>
    <row r="12" spans="1:9" x14ac:dyDescent="0.25">
      <c r="A12" s="77"/>
      <c r="B12" s="77" t="s">
        <v>7739</v>
      </c>
      <c r="C12" s="51">
        <v>0</v>
      </c>
      <c r="D12" s="51">
        <v>0</v>
      </c>
      <c r="E12" s="51">
        <v>0</v>
      </c>
      <c r="F12" s="51">
        <v>15000</v>
      </c>
      <c r="G12" s="51">
        <v>0</v>
      </c>
      <c r="H12" s="51">
        <f>ROUND(SUM(C12:G12),5)</f>
        <v>15000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>ROUND(SUM(C13:G13),5)</f>
        <v>0</v>
      </c>
    </row>
    <row r="14" spans="1:9" x14ac:dyDescent="0.25">
      <c r="A14" s="77"/>
      <c r="B14" s="77" t="s">
        <v>7827</v>
      </c>
      <c r="C14" s="51">
        <v>2000</v>
      </c>
      <c r="D14" s="51">
        <v>0</v>
      </c>
      <c r="E14" s="51">
        <v>0</v>
      </c>
      <c r="F14" s="51">
        <v>0</v>
      </c>
      <c r="G14" s="51">
        <v>0</v>
      </c>
      <c r="H14" s="51">
        <f>ROUND(SUM(C14:G14),5)</f>
        <v>2000</v>
      </c>
    </row>
    <row r="15" spans="1:9" x14ac:dyDescent="0.25">
      <c r="A15" s="77"/>
      <c r="B15" s="77" t="s">
        <v>249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f>ROUND(SUM(C15:G15),5)</f>
        <v>0</v>
      </c>
    </row>
    <row r="16" spans="1:9" x14ac:dyDescent="0.25">
      <c r="A16" s="77"/>
      <c r="B16" s="77" t="s">
        <v>1280</v>
      </c>
      <c r="C16" s="51">
        <v>15000</v>
      </c>
      <c r="D16" s="51">
        <v>0</v>
      </c>
      <c r="E16" s="51">
        <v>0</v>
      </c>
      <c r="F16" s="51">
        <v>0</v>
      </c>
      <c r="G16" s="51">
        <v>0</v>
      </c>
      <c r="H16" s="51">
        <f>ROUND(SUM(C16:G16),5)</f>
        <v>15000</v>
      </c>
    </row>
    <row r="17" spans="1:8" x14ac:dyDescent="0.25">
      <c r="A17" s="77"/>
      <c r="B17" s="77" t="s">
        <v>247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f>ROUND(SUM(C17:G17),5)</f>
        <v>0</v>
      </c>
    </row>
    <row r="18" spans="1:8" x14ac:dyDescent="0.25">
      <c r="A18" s="77"/>
      <c r="B18" s="77" t="s">
        <v>7738</v>
      </c>
      <c r="C18" s="51">
        <v>0</v>
      </c>
      <c r="D18" s="51">
        <v>0</v>
      </c>
      <c r="E18" s="51">
        <v>0</v>
      </c>
      <c r="F18" s="51">
        <v>0</v>
      </c>
      <c r="G18" s="51">
        <v>5000</v>
      </c>
      <c r="H18" s="51">
        <f>ROUND(SUM(C18:G18),5)</f>
        <v>5000</v>
      </c>
    </row>
    <row r="19" spans="1:8" x14ac:dyDescent="0.25">
      <c r="A19" s="77"/>
      <c r="B19" s="77" t="s">
        <v>7828</v>
      </c>
      <c r="C19" s="51">
        <v>2000</v>
      </c>
      <c r="D19" s="51">
        <v>0</v>
      </c>
      <c r="E19" s="51">
        <v>0</v>
      </c>
      <c r="F19" s="51">
        <v>0</v>
      </c>
      <c r="G19" s="51">
        <v>0</v>
      </c>
      <c r="H19" s="51">
        <f>ROUND(SUM(C19:G19),5)</f>
        <v>2000</v>
      </c>
    </row>
    <row r="20" spans="1:8" x14ac:dyDescent="0.25">
      <c r="A20" s="77"/>
      <c r="B20" s="77" t="s">
        <v>246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f>ROUND(SUM(C20:G20),5)</f>
        <v>0</v>
      </c>
    </row>
    <row r="21" spans="1:8" x14ac:dyDescent="0.25">
      <c r="A21" s="77"/>
      <c r="B21" s="77" t="s">
        <v>245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f>ROUND(SUM(C21:G21),5)</f>
        <v>0</v>
      </c>
    </row>
    <row r="22" spans="1:8" x14ac:dyDescent="0.25">
      <c r="A22" s="77"/>
      <c r="B22" s="77" t="s">
        <v>244</v>
      </c>
      <c r="C22" s="51">
        <v>0</v>
      </c>
      <c r="D22" s="51">
        <v>0</v>
      </c>
      <c r="E22" s="51">
        <v>0</v>
      </c>
      <c r="F22" s="51">
        <v>0</v>
      </c>
      <c r="G22" s="51">
        <v>245</v>
      </c>
      <c r="H22" s="51">
        <f>ROUND(SUM(C22:G22),5)</f>
        <v>245</v>
      </c>
    </row>
    <row r="23" spans="1:8" x14ac:dyDescent="0.25">
      <c r="A23" s="77"/>
      <c r="B23" s="77" t="s">
        <v>3284</v>
      </c>
      <c r="C23" s="51">
        <v>600</v>
      </c>
      <c r="D23" s="51">
        <v>0</v>
      </c>
      <c r="E23" s="51">
        <v>0</v>
      </c>
      <c r="F23" s="51">
        <v>0</v>
      </c>
      <c r="G23" s="51">
        <v>0</v>
      </c>
      <c r="H23" s="51">
        <f>ROUND(SUM(C23:G23),5)</f>
        <v>600</v>
      </c>
    </row>
    <row r="24" spans="1:8" x14ac:dyDescent="0.25">
      <c r="A24" s="77"/>
      <c r="B24" s="77" t="s">
        <v>243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>ROUND(SUM(C24:G24),5)</f>
        <v>0</v>
      </c>
    </row>
    <row r="25" spans="1:8" x14ac:dyDescent="0.25">
      <c r="A25" s="77"/>
      <c r="B25" s="77" t="s">
        <v>7829</v>
      </c>
      <c r="C25" s="51">
        <v>5000</v>
      </c>
      <c r="D25" s="51">
        <v>0</v>
      </c>
      <c r="E25" s="51">
        <v>0</v>
      </c>
      <c r="F25" s="51">
        <v>0</v>
      </c>
      <c r="G25" s="51">
        <v>0</v>
      </c>
      <c r="H25" s="51">
        <f>ROUND(SUM(C25:G25),5)</f>
        <v>5000</v>
      </c>
    </row>
    <row r="26" spans="1:8" x14ac:dyDescent="0.25">
      <c r="A26" s="77"/>
      <c r="B26" s="77" t="s">
        <v>242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>ROUND(SUM(C26:G26),5)</f>
        <v>0</v>
      </c>
    </row>
    <row r="27" spans="1:8" x14ac:dyDescent="0.25">
      <c r="A27" s="77"/>
      <c r="B27" s="77" t="s">
        <v>7830</v>
      </c>
      <c r="C27" s="51">
        <v>800</v>
      </c>
      <c r="D27" s="51">
        <v>0</v>
      </c>
      <c r="E27" s="51">
        <v>0</v>
      </c>
      <c r="F27" s="51">
        <v>0</v>
      </c>
      <c r="G27" s="51">
        <v>0</v>
      </c>
      <c r="H27" s="51">
        <f>ROUND(SUM(C27:G27),5)</f>
        <v>800</v>
      </c>
    </row>
    <row r="28" spans="1:8" x14ac:dyDescent="0.25">
      <c r="A28" s="77"/>
      <c r="B28" s="77" t="s">
        <v>241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f>ROUND(SUM(C28:G28),5)</f>
        <v>0</v>
      </c>
    </row>
    <row r="29" spans="1:8" x14ac:dyDescent="0.25">
      <c r="A29" s="77"/>
      <c r="B29" s="77" t="s">
        <v>240</v>
      </c>
      <c r="C29" s="51">
        <v>0</v>
      </c>
      <c r="D29" s="51">
        <v>0</v>
      </c>
      <c r="E29" s="51">
        <v>0</v>
      </c>
      <c r="F29" s="51">
        <v>0</v>
      </c>
      <c r="G29" s="51">
        <v>-400</v>
      </c>
      <c r="H29" s="51">
        <f>ROUND(SUM(C29:G29),5)</f>
        <v>-400</v>
      </c>
    </row>
    <row r="30" spans="1:8" x14ac:dyDescent="0.25">
      <c r="A30" s="77"/>
      <c r="B30" s="77" t="s">
        <v>7559</v>
      </c>
      <c r="C30" s="51">
        <v>0</v>
      </c>
      <c r="D30" s="51">
        <v>0</v>
      </c>
      <c r="E30" s="51">
        <v>0</v>
      </c>
      <c r="F30" s="51">
        <v>0</v>
      </c>
      <c r="G30" s="51">
        <v>250</v>
      </c>
      <c r="H30" s="51">
        <f>ROUND(SUM(C30:G30),5)</f>
        <v>250</v>
      </c>
    </row>
    <row r="31" spans="1:8" x14ac:dyDescent="0.25">
      <c r="A31" s="77"/>
      <c r="B31" s="77" t="s">
        <v>7751</v>
      </c>
      <c r="C31" s="51">
        <v>800</v>
      </c>
      <c r="D31" s="51">
        <v>0</v>
      </c>
      <c r="E31" s="51">
        <v>0</v>
      </c>
      <c r="F31" s="51">
        <v>0</v>
      </c>
      <c r="G31" s="51">
        <v>0</v>
      </c>
      <c r="H31" s="51">
        <f>ROUND(SUM(C31:G31),5)</f>
        <v>800</v>
      </c>
    </row>
    <row r="32" spans="1:8" x14ac:dyDescent="0.25">
      <c r="A32" s="77"/>
      <c r="B32" s="77" t="s">
        <v>6325</v>
      </c>
      <c r="C32" s="51">
        <v>0</v>
      </c>
      <c r="D32" s="51">
        <v>0</v>
      </c>
      <c r="E32" s="51">
        <v>24999</v>
      </c>
      <c r="F32" s="51">
        <v>0</v>
      </c>
      <c r="G32" s="51">
        <v>0</v>
      </c>
      <c r="H32" s="51">
        <f>ROUND(SUM(C32:G32),5)</f>
        <v>24999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>ROUND(SUM(C33:G33),5)</f>
        <v>2000</v>
      </c>
    </row>
    <row r="34" spans="1:8" x14ac:dyDescent="0.25">
      <c r="A34" s="77"/>
      <c r="B34" s="77" t="s">
        <v>5151</v>
      </c>
      <c r="C34" s="51">
        <v>0</v>
      </c>
      <c r="D34" s="51">
        <v>0</v>
      </c>
      <c r="E34" s="51">
        <v>0</v>
      </c>
      <c r="F34" s="51">
        <v>0</v>
      </c>
      <c r="G34" s="51">
        <v>27549.05</v>
      </c>
      <c r="H34" s="51">
        <f>ROUND(SUM(C34:G34),5)</f>
        <v>27549.05</v>
      </c>
    </row>
    <row r="35" spans="1:8" x14ac:dyDescent="0.25">
      <c r="A35" s="77"/>
      <c r="B35" s="77" t="s">
        <v>3053</v>
      </c>
      <c r="C35" s="51">
        <v>0</v>
      </c>
      <c r="D35" s="51">
        <v>0</v>
      </c>
      <c r="E35" s="51">
        <v>3481</v>
      </c>
      <c r="F35" s="51">
        <v>0</v>
      </c>
      <c r="G35" s="51">
        <v>0</v>
      </c>
      <c r="H35" s="51">
        <f>ROUND(SUM(C35:G35),5)</f>
        <v>3481</v>
      </c>
    </row>
    <row r="36" spans="1:8" x14ac:dyDescent="0.25">
      <c r="A36" s="77"/>
      <c r="B36" s="77" t="s">
        <v>238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f>ROUND(SUM(C36:G36),5)</f>
        <v>0</v>
      </c>
    </row>
    <row r="37" spans="1:8" x14ac:dyDescent="0.25">
      <c r="A37" s="77"/>
      <c r="B37" s="77" t="s">
        <v>7737</v>
      </c>
      <c r="C37" s="51">
        <v>0</v>
      </c>
      <c r="D37" s="51">
        <v>0</v>
      </c>
      <c r="E37" s="51">
        <v>0</v>
      </c>
      <c r="F37" s="51">
        <v>14999</v>
      </c>
      <c r="G37" s="51">
        <v>0</v>
      </c>
      <c r="H37" s="51">
        <f>ROUND(SUM(C37:G37),5)</f>
        <v>14999</v>
      </c>
    </row>
    <row r="38" spans="1:8" x14ac:dyDescent="0.25">
      <c r="A38" s="77"/>
      <c r="B38" s="77" t="s">
        <v>7831</v>
      </c>
      <c r="C38" s="51">
        <v>800</v>
      </c>
      <c r="D38" s="51">
        <v>0</v>
      </c>
      <c r="E38" s="51">
        <v>0</v>
      </c>
      <c r="F38" s="51">
        <v>0</v>
      </c>
      <c r="G38" s="51">
        <v>0</v>
      </c>
      <c r="H38" s="51">
        <f>ROUND(SUM(C38:G38),5)</f>
        <v>800</v>
      </c>
    </row>
    <row r="39" spans="1:8" x14ac:dyDescent="0.25">
      <c r="A39" s="77"/>
      <c r="B39" s="77" t="s">
        <v>7736</v>
      </c>
      <c r="C39" s="51">
        <v>0</v>
      </c>
      <c r="D39" s="51">
        <v>0</v>
      </c>
      <c r="E39" s="51">
        <v>5000</v>
      </c>
      <c r="F39" s="51">
        <v>0</v>
      </c>
      <c r="G39" s="51">
        <v>0</v>
      </c>
      <c r="H39" s="51">
        <f>ROUND(SUM(C39:G39),5)</f>
        <v>5000</v>
      </c>
    </row>
    <row r="40" spans="1:8" x14ac:dyDescent="0.25">
      <c r="A40" s="77"/>
      <c r="B40" s="77" t="s">
        <v>7551</v>
      </c>
      <c r="C40" s="51">
        <v>25000</v>
      </c>
      <c r="D40" s="51">
        <v>0</v>
      </c>
      <c r="E40" s="51">
        <v>0</v>
      </c>
      <c r="F40" s="51">
        <v>0</v>
      </c>
      <c r="G40" s="51">
        <v>5000</v>
      </c>
      <c r="H40" s="51">
        <f>ROUND(SUM(C40:G40),5)</f>
        <v>30000</v>
      </c>
    </row>
    <row r="41" spans="1:8" ht="15.75" thickBot="1" x14ac:dyDescent="0.3">
      <c r="A41" s="77"/>
      <c r="B41" s="77" t="s">
        <v>7750</v>
      </c>
      <c r="C41" s="51">
        <v>800</v>
      </c>
      <c r="D41" s="51">
        <v>0</v>
      </c>
      <c r="E41" s="51">
        <v>0</v>
      </c>
      <c r="F41" s="51">
        <v>0</v>
      </c>
      <c r="G41" s="51">
        <v>0</v>
      </c>
      <c r="H41" s="51">
        <f>ROUND(SUM(C41:G41),5)</f>
        <v>800</v>
      </c>
    </row>
    <row r="42" spans="1:8" s="2" customFormat="1" ht="12" thickBot="1" x14ac:dyDescent="0.25">
      <c r="A42" s="77" t="s">
        <v>2</v>
      </c>
      <c r="B42" s="77"/>
      <c r="C42" s="55">
        <f>ROUND(SUM(C2:C41),5)</f>
        <v>63600</v>
      </c>
      <c r="D42" s="55">
        <f>ROUND(SUM(D2:D41),5)</f>
        <v>2000</v>
      </c>
      <c r="E42" s="55">
        <f>ROUND(SUM(E2:E41),5)</f>
        <v>13479</v>
      </c>
      <c r="F42" s="55">
        <f>ROUND(SUM(F2:F41),5)</f>
        <v>30649.32</v>
      </c>
      <c r="G42" s="55">
        <f>ROUND(SUM(G2:G41),5)</f>
        <v>37498.78</v>
      </c>
      <c r="H42" s="55">
        <f>ROUND(SUM(C42:G42),5)</f>
        <v>147227.1</v>
      </c>
    </row>
    <row r="43" spans="1:8" ht="15.75" thickTop="1" x14ac:dyDescent="0.25"/>
  </sheetData>
  <hyperlinks>
    <hyperlink ref="I1" location="Contents!A1" display="Contents" xr:uid="{841D9FA6-E841-449F-8AC4-DAACB60870DD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17" r:id="rId4" name="TextBox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4" name="TextBox1"/>
      </mc:Fallback>
    </mc:AlternateContent>
    <mc:AlternateContent xmlns:mc="http://schemas.openxmlformats.org/markup-compatibility/2006">
      <mc:Choice Requires="x14">
        <control shapeId="60418" r:id="rId6" name="TextBox2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6" name="TextBox2"/>
      </mc:Fallback>
    </mc:AlternateContent>
    <mc:AlternateContent xmlns:mc="http://schemas.openxmlformats.org/markup-compatibility/2006">
      <mc:Choice Requires="x14">
        <control shapeId="60419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8" name="TextBox3"/>
      </mc:Fallback>
    </mc:AlternateContent>
    <mc:AlternateContent xmlns:mc="http://schemas.openxmlformats.org/markup-compatibility/2006">
      <mc:Choice Requires="x14">
        <control shapeId="60420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10" name="TextBox4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7698</v>
      </c>
      <c r="U3" s="9" t="s">
        <v>7716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'[2]21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'[2]21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'[2]21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'[2]21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'[2]21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'[2]21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'[2]21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'[2]21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'[2]21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'[2]21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'[2]21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'[2]21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'[2]21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'[2]21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'[2]21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'[2]21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'[2]21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'[2]21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'[2]21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'[2]21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'[2]21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'[2]21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'[2]21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'[2]21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'[2]21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'[2]21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'[2]21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'[2]21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'[2]21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'[2]21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'[2]21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'[2]21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'[2]21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'[2]21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'[2]21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'[2]21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'[2]21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'[2]21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'[2]21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'[2]21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'[2]21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'[2]21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'[2]21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'[2]21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'[2]21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'[2]21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'[2]21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'[2]21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'[2]21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'[2]21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'[2]21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'[2]21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'[2]21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'[2]21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'[2]21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'[2]21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'[2]21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'[2]21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'[2]21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'[2]21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'[2]21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'[2]21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'[2]21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'[2]21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'[2]21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'[2]21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'[2]21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'[2]21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'[2]21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'[2]21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'[2]21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'[2]21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'[2]21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'[2]21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'[2]21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'[2]21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'[2]21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'[2]21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'[2]21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'[2]21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'[2]21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'[2]21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'[2]21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'[2]21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'[2]21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'[2]21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'[2]21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'[2]21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'[2]21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'[2]21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'[2]21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'[2]21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'[2]21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'[2]21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'[2]21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'[2]21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'[2]21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'[2]21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'[2]21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'[2]21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dimension ref="A1:Q1077"/>
  <sheetViews>
    <sheetView topLeftCell="A103" workbookViewId="0">
      <selection activeCell="N138" sqref="N138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1"/>
      <c r="E1" s="112" t="s">
        <v>7765</v>
      </c>
      <c r="F1" s="113"/>
      <c r="G1" s="114"/>
      <c r="H1" s="39" t="s">
        <v>224</v>
      </c>
      <c r="I1" s="115" t="s">
        <v>7766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6" t="s">
        <v>7756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7" t="s">
        <v>7767</v>
      </c>
      <c r="H3" s="5"/>
      <c r="I3" s="5"/>
      <c r="J3" s="5"/>
      <c r="K3" s="5"/>
      <c r="L3" s="5"/>
      <c r="M3" s="5"/>
      <c r="N3" s="118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7758</v>
      </c>
      <c r="F7" s="27"/>
      <c r="G7" s="119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7" t="s">
        <v>7759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7" t="s">
        <v>7760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20" t="s">
        <v>7768</v>
      </c>
      <c r="F12" s="121"/>
      <c r="G12" s="122">
        <v>40000</v>
      </c>
      <c r="H12" s="5"/>
      <c r="I12" s="27" t="s">
        <v>7769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7770</v>
      </c>
      <c r="F13" s="27"/>
      <c r="G13" s="69">
        <f>'[4]updated event rev &amp; Exp 1.4.22 '!G10</f>
        <v>85000</v>
      </c>
      <c r="H13" s="5"/>
      <c r="I13" s="123" t="s">
        <v>7771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7772</v>
      </c>
      <c r="D14" s="5"/>
      <c r="E14" s="5"/>
      <c r="F14" s="27"/>
      <c r="G14" s="69"/>
      <c r="H14" s="5"/>
      <c r="I14" s="123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3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3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3" t="s">
        <v>7773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3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3" t="s">
        <v>7774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4" t="s">
        <v>7761</v>
      </c>
      <c r="E20" s="5"/>
      <c r="F20" s="27"/>
      <c r="G20" s="109">
        <f>'[4]updated event rev &amp; Exp 1.4.22 '!G18</f>
        <v>10000</v>
      </c>
      <c r="H20" s="5"/>
      <c r="I20" s="123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5" t="s">
        <v>5224</v>
      </c>
      <c r="E21" s="5"/>
      <c r="F21" s="27"/>
      <c r="G21" s="109">
        <f>'[4]updated event rev &amp; Exp 1.4.22 '!G19</f>
        <v>50000</v>
      </c>
      <c r="H21" s="5"/>
      <c r="I21" s="123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4" t="s">
        <v>7775</v>
      </c>
      <c r="E22" s="5"/>
      <c r="F22" s="27"/>
      <c r="G22" s="109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3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3" t="s">
        <v>7776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3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3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3" t="s">
        <v>7777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3" t="s">
        <v>7778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9">
        <v>250000</v>
      </c>
      <c r="H29" s="5"/>
      <c r="I29" s="123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3" t="s">
        <v>7777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3" t="s">
        <v>7777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3"/>
      <c r="J32" s="126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3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7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7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30" customFormat="1" ht="12.75" x14ac:dyDescent="0.2">
      <c r="A40" s="4"/>
      <c r="B40" s="4" t="s">
        <v>7422</v>
      </c>
      <c r="C40" s="4"/>
      <c r="D40" s="4"/>
      <c r="E40" s="4"/>
      <c r="F40" s="128"/>
      <c r="G40" s="129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3" t="s">
        <v>7774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1" t="s">
        <v>7773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7" t="s">
        <v>7779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7770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7780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4" t="s">
        <v>7761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5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4" t="s">
        <v>7775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7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2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7" t="s">
        <v>7781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7" t="s">
        <v>7782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7783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7784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7" t="s">
        <v>7785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7" t="s">
        <v>7786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7787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7" t="s">
        <v>7788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7" t="s">
        <v>7789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7" t="s">
        <v>7790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7764</v>
      </c>
      <c r="D83" s="5"/>
      <c r="E83" s="5"/>
      <c r="F83" s="27"/>
      <c r="G83" s="56">
        <v>30000</v>
      </c>
      <c r="I83" s="5" t="s">
        <v>7791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7792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7" t="s">
        <v>7793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7" t="s">
        <v>7794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7" t="s">
        <v>7795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7" t="s">
        <v>7796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7797</v>
      </c>
      <c r="E113" s="5"/>
      <c r="F113" s="27" t="s">
        <v>202</v>
      </c>
      <c r="G113" s="69">
        <v>25000</v>
      </c>
      <c r="I113" s="5" t="s">
        <v>7798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7799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3">
        <v>136735.26019999999</v>
      </c>
      <c r="I119" s="5" t="s">
        <v>7800</v>
      </c>
      <c r="K119" s="5"/>
      <c r="M119" s="134">
        <f>G119+G108+G98+G88+G73+G62+G44+G120</f>
        <v>821170.58799999999</v>
      </c>
      <c r="N119" s="5" t="s">
        <v>7801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7802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7803</v>
      </c>
      <c r="C121" s="5"/>
      <c r="E121" s="5"/>
      <c r="F121" s="27" t="s">
        <v>202</v>
      </c>
      <c r="G121" s="69">
        <v>3000</v>
      </c>
      <c r="I121" s="5" t="s">
        <v>7804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7805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5" t="s">
        <v>7806</v>
      </c>
      <c r="C123" s="136"/>
      <c r="D123" s="136"/>
      <c r="E123" s="136"/>
      <c r="F123" s="137"/>
      <c r="G123" s="138">
        <v>43000</v>
      </c>
      <c r="I123" s="27" t="s">
        <v>7807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7808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7809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7810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7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7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7811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7812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1">
        <f>L137/12</f>
        <v>121179.31983333333</v>
      </c>
      <c r="N137" s="151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7821</v>
      </c>
      <c r="F138" s="5"/>
      <c r="G138" s="145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5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5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5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5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5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5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5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4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dimension ref="A1:BO110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7756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7757</v>
      </c>
      <c r="T3" s="9"/>
      <c r="U3" s="9"/>
      <c r="V3" s="9" t="s">
        <v>7698</v>
      </c>
      <c r="W3" s="9" t="s">
        <v>7716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7758</v>
      </c>
      <c r="F7" s="69">
        <f>'[3]FY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/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6"/>
      <c r="D8" s="106"/>
      <c r="E8" s="107" t="s">
        <v>7759</v>
      </c>
      <c r="F8" s="69">
        <f>'[3]FY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/>
      <c r="U8" s="68"/>
      <c r="V8" s="68">
        <f t="shared" ref="V8:V72" si="7">SUM(G8:Q8)</f>
        <v>25000</v>
      </c>
      <c r="W8" s="68">
        <f t="shared" ref="W8:W72" si="8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7" t="s">
        <v>7760</v>
      </c>
      <c r="F9" s="69">
        <f>'[3]FY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/>
      <c r="U9" s="68"/>
      <c r="V9" s="68">
        <f t="shared" si="7"/>
        <v>265000</v>
      </c>
      <c r="W9" s="68">
        <f t="shared" si="8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'[3]FY 22 Bud by account'!C14</f>
        <v>Event Sponsorships</v>
      </c>
      <c r="E10" s="10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/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7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/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7" t="str">
        <f>'[3]FY 22 Bud by account'!E16</f>
        <v>Global AppSec Virtual EU</v>
      </c>
      <c r="F12" s="69">
        <f>'[3]FY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/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7" t="str">
        <f>'[3]FY 22 Bud by account'!E17</f>
        <v>Global AppSec Virtual ASIA Pac</v>
      </c>
      <c r="F13" s="69">
        <f>'[3]FY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/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7" t="str">
        <f>'[3]FY 22 Bud by account'!E18</f>
        <v>Global AppSec in person SF</v>
      </c>
      <c r="F14" s="69">
        <f>'[3]FY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/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/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/>
      <c r="U16" s="68"/>
      <c r="V16" s="68">
        <f t="shared" si="7"/>
        <v>0</v>
      </c>
      <c r="W16" s="68">
        <f t="shared" si="8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8" t="str">
        <f>'[3]FY 22 Bud by account'!E12</f>
        <v>EU events</v>
      </c>
      <c r="F17" s="69">
        <f>'[3]FY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/>
      <c r="U17" s="68"/>
      <c r="V17" s="68">
        <f t="shared" si="7"/>
        <v>30000</v>
      </c>
      <c r="W17" s="68">
        <f t="shared" si="8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8" t="str">
        <f>'[3]FY 22 Bud by account'!E13</f>
        <v>LASCON 2022</v>
      </c>
      <c r="F18" s="69">
        <f>'[3]FY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/>
      <c r="U18" s="68"/>
      <c r="V18" s="68">
        <f t="shared" si="7"/>
        <v>85000</v>
      </c>
      <c r="W18" s="68">
        <f t="shared" si="8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'[2]21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>
        <f t="shared" si="7"/>
        <v>0</v>
      </c>
      <c r="W19" s="68">
        <f t="shared" si="8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7761</v>
      </c>
      <c r="E20" s="5"/>
      <c r="F20" s="109">
        <f>'[3]FY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/>
      <c r="U20" s="68"/>
      <c r="V20" s="68">
        <f t="shared" si="7"/>
        <v>10000</v>
      </c>
      <c r="W20" s="68">
        <f t="shared" si="8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7762</v>
      </c>
      <c r="E21" s="5"/>
      <c r="F21" s="109">
        <f>'[3]FY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/>
      <c r="U21" s="68"/>
      <c r="V21" s="68">
        <f t="shared" si="7"/>
        <v>37500</v>
      </c>
      <c r="W21" s="68">
        <f t="shared" si="8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/>
      <c r="U22" s="68"/>
      <c r="V22" s="68">
        <f t="shared" si="7"/>
        <v>0</v>
      </c>
      <c r="W22" s="68">
        <f t="shared" si="8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/>
      <c r="U23" s="68"/>
      <c r="V23" s="68">
        <f t="shared" si="7"/>
        <v>0</v>
      </c>
      <c r="W23" s="68">
        <f t="shared" si="8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7763</v>
      </c>
      <c r="C24" s="5"/>
      <c r="D24" s="5"/>
      <c r="E24" s="5"/>
      <c r="F24" s="69">
        <f>'[3]FY 22 Bud by account'!G25+'[3]FY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/>
      <c r="U24" s="68"/>
      <c r="V24" s="68">
        <f t="shared" si="7"/>
        <v>106000</v>
      </c>
      <c r="W24" s="68">
        <f t="shared" si="8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/>
      <c r="U25" s="68"/>
      <c r="V25" s="68">
        <f t="shared" si="7"/>
        <v>0</v>
      </c>
      <c r="W25" s="68">
        <f t="shared" si="8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/>
      <c r="U26" s="68"/>
      <c r="V26" s="68">
        <f t="shared" si="7"/>
        <v>0</v>
      </c>
      <c r="W26" s="68">
        <f t="shared" si="8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9">IF(ISBLANK(A26),"   ",A26)</f>
        <v xml:space="preserve">   </v>
      </c>
      <c r="BG26" s="11" t="str">
        <f t="shared" si="9"/>
        <v>Google Summer of Code</v>
      </c>
      <c r="BH26" s="11" t="str">
        <f t="shared" si="9"/>
        <v xml:space="preserve">   </v>
      </c>
      <c r="BI26" s="11" t="str">
        <f t="shared" si="9"/>
        <v xml:space="preserve">   </v>
      </c>
      <c r="BJ26" s="11" t="str">
        <f t="shared" si="9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/>
      <c r="U27" s="68"/>
      <c r="V27" s="68">
        <f t="shared" si="7"/>
        <v>0</v>
      </c>
      <c r="W27" s="68">
        <f t="shared" si="8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0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9"/>
        <v xml:space="preserve">   </v>
      </c>
      <c r="BG27" s="11" t="str">
        <f t="shared" si="9"/>
        <v>Bequests</v>
      </c>
      <c r="BH27" s="11" t="str">
        <f t="shared" si="9"/>
        <v xml:space="preserve">   </v>
      </c>
      <c r="BI27" s="11" t="str">
        <f t="shared" si="9"/>
        <v xml:space="preserve">   </v>
      </c>
      <c r="BJ27" s="11" t="str">
        <f t="shared" si="9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/>
      <c r="U28" s="68"/>
      <c r="V28" s="68">
        <f t="shared" si="7"/>
        <v>0</v>
      </c>
      <c r="W28" s="68">
        <f t="shared" si="8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0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9"/>
        <v xml:space="preserve">   </v>
      </c>
      <c r="BG28" s="11" t="str">
        <f t="shared" si="9"/>
        <v>Corporate Sponsorship</v>
      </c>
      <c r="BH28" s="11" t="str">
        <f t="shared" si="9"/>
        <v xml:space="preserve">   </v>
      </c>
      <c r="BI28" s="11" t="str">
        <f t="shared" si="9"/>
        <v xml:space="preserve">   </v>
      </c>
      <c r="BJ28" s="11" t="str">
        <f t="shared" si="9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/>
      <c r="U29" s="68"/>
      <c r="V29" s="68">
        <f t="shared" si="7"/>
        <v>0</v>
      </c>
      <c r="W29" s="68">
        <f t="shared" si="8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0"/>
        <v/>
      </c>
      <c r="AT29" s="11" t="str">
        <f t="shared" ref="AT29:BE31" si="11">IF(ISBLANK(G29),"",RIGHT(REPT(" ",15)&amp;TEXT(G29,"$#,##0"),12))</f>
        <v/>
      </c>
      <c r="AU29" s="11" t="str">
        <f t="shared" si="11"/>
        <v/>
      </c>
      <c r="AV29" s="11" t="str">
        <f t="shared" si="11"/>
        <v/>
      </c>
      <c r="AW29" s="11" t="str">
        <f t="shared" si="11"/>
        <v/>
      </c>
      <c r="AX29" s="11" t="str">
        <f t="shared" si="11"/>
        <v/>
      </c>
      <c r="AY29" s="11" t="str">
        <f t="shared" si="11"/>
        <v/>
      </c>
      <c r="AZ29" s="11" t="str">
        <f t="shared" si="11"/>
        <v/>
      </c>
      <c r="BA29" s="11" t="str">
        <f t="shared" si="11"/>
        <v/>
      </c>
      <c r="BB29" s="11" t="str">
        <f t="shared" si="11"/>
        <v/>
      </c>
      <c r="BC29" s="11" t="str">
        <f t="shared" si="11"/>
        <v/>
      </c>
      <c r="BD29" s="11" t="str">
        <f t="shared" si="11"/>
        <v/>
      </c>
      <c r="BE29" s="11" t="str">
        <f t="shared" si="11"/>
        <v/>
      </c>
      <c r="BF29" s="11" t="str">
        <f t="shared" si="9"/>
        <v xml:space="preserve">   </v>
      </c>
      <c r="BG29" s="11" t="str">
        <f t="shared" si="9"/>
        <v>Membership</v>
      </c>
      <c r="BH29" s="11" t="str">
        <f t="shared" si="9"/>
        <v xml:space="preserve">   </v>
      </c>
      <c r="BI29" s="11" t="str">
        <f t="shared" si="9"/>
        <v xml:space="preserve">   </v>
      </c>
      <c r="BJ29" s="11" t="str">
        <f t="shared" si="9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'[3]FY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/>
      <c r="U30" s="68"/>
      <c r="V30" s="68">
        <f t="shared" si="7"/>
        <v>275000</v>
      </c>
      <c r="W30" s="68">
        <f t="shared" si="8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0"/>
        <v xml:space="preserve">    $300,000</v>
      </c>
      <c r="AT30" s="11" t="str">
        <f t="shared" si="11"/>
        <v xml:space="preserve">     $25,000</v>
      </c>
      <c r="AU30" s="11" t="str">
        <f t="shared" si="11"/>
        <v xml:space="preserve">     $25,000</v>
      </c>
      <c r="AV30" s="11" t="str">
        <f t="shared" si="11"/>
        <v xml:space="preserve">     $25,000</v>
      </c>
      <c r="AW30" s="11" t="str">
        <f t="shared" si="11"/>
        <v xml:space="preserve">     $25,000</v>
      </c>
      <c r="AX30" s="11" t="str">
        <f t="shared" si="11"/>
        <v xml:space="preserve">     $25,000</v>
      </c>
      <c r="AY30" s="11" t="str">
        <f t="shared" si="11"/>
        <v xml:space="preserve">     $25,000</v>
      </c>
      <c r="AZ30" s="11" t="str">
        <f t="shared" si="11"/>
        <v xml:space="preserve">     $25,000</v>
      </c>
      <c r="BA30" s="11" t="str">
        <f t="shared" si="11"/>
        <v xml:space="preserve">     $25,000</v>
      </c>
      <c r="BB30" s="11" t="str">
        <f t="shared" si="11"/>
        <v xml:space="preserve">     $25,000</v>
      </c>
      <c r="BC30" s="11" t="str">
        <f t="shared" si="11"/>
        <v xml:space="preserve">     $25,000</v>
      </c>
      <c r="BD30" s="11" t="str">
        <f t="shared" si="11"/>
        <v xml:space="preserve">     $25,000</v>
      </c>
      <c r="BE30" s="11" t="str">
        <f t="shared" si="11"/>
        <v xml:space="preserve">     $25,000</v>
      </c>
      <c r="BF30" s="11" t="str">
        <f t="shared" si="9"/>
        <v xml:space="preserve">   </v>
      </c>
      <c r="BG30" s="11" t="str">
        <f t="shared" si="9"/>
        <v xml:space="preserve">   </v>
      </c>
      <c r="BH30" s="11" t="str">
        <f t="shared" si="9"/>
        <v xml:space="preserve">   </v>
      </c>
      <c r="BI30" s="11" t="str">
        <f t="shared" si="9"/>
        <v>Individual</v>
      </c>
      <c r="BJ30" s="11" t="str">
        <f t="shared" si="9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5"/>
      <c r="F31" s="109">
        <f>'[3]FY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/>
      <c r="U31" s="68"/>
      <c r="V31" s="68">
        <f t="shared" si="7"/>
        <v>229166.66666666669</v>
      </c>
      <c r="W31" s="68">
        <f t="shared" si="8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0"/>
        <v xml:space="preserve">    $250,000</v>
      </c>
      <c r="AT31" s="11" t="str">
        <f t="shared" si="11"/>
        <v xml:space="preserve">     $20,833</v>
      </c>
      <c r="AU31" s="11" t="str">
        <f t="shared" si="11"/>
        <v xml:space="preserve">     $20,833</v>
      </c>
      <c r="AV31" s="11" t="str">
        <f t="shared" si="11"/>
        <v xml:space="preserve">     $20,833</v>
      </c>
      <c r="AW31" s="11" t="str">
        <f t="shared" si="11"/>
        <v xml:space="preserve">     $20,833</v>
      </c>
      <c r="AX31" s="11" t="str">
        <f t="shared" si="11"/>
        <v xml:space="preserve">     $20,833</v>
      </c>
      <c r="AY31" s="11" t="str">
        <f t="shared" si="11"/>
        <v xml:space="preserve">     $20,833</v>
      </c>
      <c r="AZ31" s="11" t="str">
        <f t="shared" si="11"/>
        <v xml:space="preserve">     $20,833</v>
      </c>
      <c r="BA31" s="11" t="str">
        <f t="shared" si="11"/>
        <v xml:space="preserve">     $20,833</v>
      </c>
      <c r="BB31" s="11" t="str">
        <f t="shared" si="11"/>
        <v xml:space="preserve">     $20,833</v>
      </c>
      <c r="BC31" s="11" t="str">
        <f t="shared" si="11"/>
        <v xml:space="preserve">     $20,833</v>
      </c>
      <c r="BD31" s="11" t="str">
        <f t="shared" si="11"/>
        <v xml:space="preserve">     $20,833</v>
      </c>
      <c r="BE31" s="11" t="str">
        <f t="shared" si="11"/>
        <v xml:space="preserve">     $20,833</v>
      </c>
      <c r="BF31" s="11" t="str">
        <f t="shared" si="9"/>
        <v xml:space="preserve">   </v>
      </c>
      <c r="BG31" s="11" t="str">
        <f t="shared" si="9"/>
        <v xml:space="preserve">   </v>
      </c>
      <c r="BH31" s="11" t="str">
        <f t="shared" si="9"/>
        <v xml:space="preserve">   </v>
      </c>
      <c r="BI31" s="11" t="str">
        <f t="shared" si="9"/>
        <v>Corporate</v>
      </c>
      <c r="BJ31" s="11" t="str">
        <f t="shared" si="9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68">
        <f t="shared" si="7"/>
        <v>0</v>
      </c>
      <c r="W32" s="68">
        <f t="shared" si="8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0"/>
        <v/>
      </c>
      <c r="AT32" s="11" t="str">
        <f t="shared" ref="AT32:BE32" si="12">IF(ISBLANK(G33),"",RIGHT(REPT(" ",15)&amp;TEXT(G33,"$#,##0"),12))</f>
        <v xml:space="preserve">      $4,167</v>
      </c>
      <c r="AU32" s="11" t="str">
        <f t="shared" si="12"/>
        <v xml:space="preserve">      $4,167</v>
      </c>
      <c r="AV32" s="11" t="str">
        <f t="shared" si="12"/>
        <v xml:space="preserve">      $4,167</v>
      </c>
      <c r="AW32" s="11" t="str">
        <f t="shared" si="12"/>
        <v xml:space="preserve">      $4,167</v>
      </c>
      <c r="AX32" s="11" t="str">
        <f t="shared" si="12"/>
        <v xml:space="preserve">      $4,167</v>
      </c>
      <c r="AY32" s="11" t="str">
        <f t="shared" si="12"/>
        <v xml:space="preserve">      $4,167</v>
      </c>
      <c r="AZ32" s="11" t="str">
        <f t="shared" si="12"/>
        <v xml:space="preserve">      $4,167</v>
      </c>
      <c r="BA32" s="11" t="str">
        <f t="shared" si="12"/>
        <v xml:space="preserve">      $4,167</v>
      </c>
      <c r="BB32" s="11" t="str">
        <f t="shared" si="12"/>
        <v xml:space="preserve">      $4,167</v>
      </c>
      <c r="BC32" s="11" t="str">
        <f t="shared" si="12"/>
        <v xml:space="preserve">      $4,167</v>
      </c>
      <c r="BD32" s="11" t="str">
        <f t="shared" si="12"/>
        <v xml:space="preserve">      $4,167</v>
      </c>
      <c r="BE32" s="11" t="str">
        <f t="shared" si="12"/>
        <v xml:space="preserve">      $4,167</v>
      </c>
      <c r="BF32" s="11" t="str">
        <f t="shared" si="9"/>
        <v xml:space="preserve">   </v>
      </c>
      <c r="BG32" s="11" t="str">
        <f t="shared" si="9"/>
        <v>Fundraising and Donations</v>
      </c>
      <c r="BH32" s="11" t="str">
        <f t="shared" si="9"/>
        <v xml:space="preserve">   </v>
      </c>
      <c r="BI32" s="11" t="str">
        <f t="shared" si="9"/>
        <v xml:space="preserve">   </v>
      </c>
      <c r="BJ32" s="11" t="str">
        <f t="shared" si="9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'[3]FY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/>
      <c r="U33" s="68"/>
      <c r="V33" s="68">
        <f t="shared" si="7"/>
        <v>45833.333333333328</v>
      </c>
      <c r="W33" s="68">
        <f t="shared" si="8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0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9"/>
        <v xml:space="preserve">   </v>
      </c>
      <c r="BG33" s="11" t="str">
        <f t="shared" si="9"/>
        <v xml:space="preserve">   </v>
      </c>
      <c r="BH33" s="11" t="str">
        <f t="shared" si="9"/>
        <v xml:space="preserve">   </v>
      </c>
      <c r="BI33" s="11" t="str">
        <f t="shared" si="9"/>
        <v>Corporate</v>
      </c>
      <c r="BJ33" s="11" t="str">
        <f t="shared" si="9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'[3]FY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/>
      <c r="U34" s="68"/>
      <c r="V34" s="68">
        <f t="shared" si="7"/>
        <v>27500</v>
      </c>
      <c r="W34" s="68">
        <f t="shared" si="8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0"/>
        <v xml:space="preserve">     $30,000</v>
      </c>
      <c r="AT34" s="11" t="str">
        <f t="shared" ref="AT34:BE40" si="13">IF(ISBLANK(G34),"",RIGHT(REPT(" ",15)&amp;TEXT(G34,"$#,##0"),12))</f>
        <v xml:space="preserve">      $2,500</v>
      </c>
      <c r="AU34" s="11" t="str">
        <f t="shared" si="13"/>
        <v xml:space="preserve">      $2,500</v>
      </c>
      <c r="AV34" s="11" t="str">
        <f t="shared" si="13"/>
        <v xml:space="preserve">      $2,500</v>
      </c>
      <c r="AW34" s="11" t="str">
        <f t="shared" si="13"/>
        <v xml:space="preserve">      $2,500</v>
      </c>
      <c r="AX34" s="11" t="str">
        <f t="shared" si="13"/>
        <v xml:space="preserve">      $2,500</v>
      </c>
      <c r="AY34" s="11" t="str">
        <f t="shared" si="13"/>
        <v xml:space="preserve">      $2,500</v>
      </c>
      <c r="AZ34" s="11" t="str">
        <f t="shared" si="13"/>
        <v xml:space="preserve">      $2,500</v>
      </c>
      <c r="BA34" s="11" t="str">
        <f t="shared" si="13"/>
        <v xml:space="preserve">      $2,500</v>
      </c>
      <c r="BB34" s="11" t="str">
        <f t="shared" si="13"/>
        <v xml:space="preserve">      $2,500</v>
      </c>
      <c r="BC34" s="11" t="str">
        <f t="shared" si="13"/>
        <v xml:space="preserve">      $2,500</v>
      </c>
      <c r="BD34" s="11" t="str">
        <f t="shared" si="13"/>
        <v xml:space="preserve">      $2,500</v>
      </c>
      <c r="BE34" s="11" t="str">
        <f t="shared" si="13"/>
        <v xml:space="preserve">      $2,500</v>
      </c>
      <c r="BF34" s="11" t="str">
        <f t="shared" si="9"/>
        <v xml:space="preserve">   </v>
      </c>
      <c r="BG34" s="11" t="str">
        <f t="shared" si="9"/>
        <v xml:space="preserve">   </v>
      </c>
      <c r="BH34" s="11" t="str">
        <f t="shared" si="9"/>
        <v xml:space="preserve">   </v>
      </c>
      <c r="BI34" s="11" t="str">
        <f t="shared" si="9"/>
        <v>Individual</v>
      </c>
      <c r="BJ34" s="11" t="str">
        <f t="shared" si="9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'[3]FY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/>
      <c r="U35" s="68"/>
      <c r="V35" s="68">
        <f t="shared" si="7"/>
        <v>3000</v>
      </c>
      <c r="W35" s="68">
        <f t="shared" si="8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0"/>
        <v xml:space="preserve">      $4,000</v>
      </c>
      <c r="AT35" s="11" t="str">
        <f t="shared" si="13"/>
        <v/>
      </c>
      <c r="AU35" s="11" t="str">
        <f t="shared" si="13"/>
        <v/>
      </c>
      <c r="AV35" s="11" t="str">
        <f t="shared" si="13"/>
        <v xml:space="preserve">      $1,000</v>
      </c>
      <c r="AW35" s="11" t="str">
        <f t="shared" si="13"/>
        <v/>
      </c>
      <c r="AX35" s="11" t="str">
        <f t="shared" si="13"/>
        <v/>
      </c>
      <c r="AY35" s="11" t="str">
        <f t="shared" si="13"/>
        <v xml:space="preserve">      $1,000</v>
      </c>
      <c r="AZ35" s="11" t="str">
        <f t="shared" si="13"/>
        <v/>
      </c>
      <c r="BA35" s="11" t="str">
        <f t="shared" si="13"/>
        <v/>
      </c>
      <c r="BB35" s="11" t="str">
        <f t="shared" si="13"/>
        <v xml:space="preserve">      $1,000</v>
      </c>
      <c r="BC35" s="11" t="str">
        <f t="shared" si="13"/>
        <v/>
      </c>
      <c r="BD35" s="11" t="str">
        <f t="shared" si="13"/>
        <v/>
      </c>
      <c r="BE35" s="11" t="str">
        <f t="shared" si="13"/>
        <v xml:space="preserve">      $1,000</v>
      </c>
      <c r="BF35" s="11" t="str">
        <f t="shared" si="9"/>
        <v xml:space="preserve">   </v>
      </c>
      <c r="BG35" s="11" t="str">
        <f t="shared" si="9"/>
        <v>Merchandise (drop shipping)</v>
      </c>
      <c r="BH35" s="11" t="str">
        <f t="shared" si="9"/>
        <v xml:space="preserve">   </v>
      </c>
      <c r="BI35" s="11" t="str">
        <f t="shared" si="9"/>
        <v xml:space="preserve">   </v>
      </c>
      <c r="BJ35" s="11" t="str">
        <f t="shared" si="9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'[3]FY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/>
      <c r="U36" s="68"/>
      <c r="V36" s="68">
        <f t="shared" si="7"/>
        <v>30000</v>
      </c>
      <c r="W36" s="68">
        <f t="shared" si="8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0"/>
        <v xml:space="preserve">     $40,000</v>
      </c>
      <c r="AT36" s="11" t="str">
        <f t="shared" si="13"/>
        <v/>
      </c>
      <c r="AU36" s="11" t="str">
        <f t="shared" si="13"/>
        <v/>
      </c>
      <c r="AV36" s="11" t="str">
        <f t="shared" si="13"/>
        <v xml:space="preserve">     $10,000</v>
      </c>
      <c r="AW36" s="11" t="str">
        <f t="shared" si="13"/>
        <v/>
      </c>
      <c r="AX36" s="11" t="str">
        <f t="shared" si="13"/>
        <v/>
      </c>
      <c r="AY36" s="11" t="str">
        <f t="shared" si="13"/>
        <v xml:space="preserve">     $10,000</v>
      </c>
      <c r="AZ36" s="11" t="str">
        <f t="shared" si="13"/>
        <v/>
      </c>
      <c r="BA36" s="11" t="str">
        <f t="shared" si="13"/>
        <v/>
      </c>
      <c r="BB36" s="11" t="str">
        <f t="shared" si="13"/>
        <v xml:space="preserve">     $10,000</v>
      </c>
      <c r="BC36" s="11" t="str">
        <f t="shared" si="13"/>
        <v/>
      </c>
      <c r="BD36" s="11" t="str">
        <f t="shared" si="13"/>
        <v/>
      </c>
      <c r="BE36" s="11" t="str">
        <f t="shared" si="13"/>
        <v xml:space="preserve">     $10,000</v>
      </c>
      <c r="BF36" s="11" t="str">
        <f t="shared" si="9"/>
        <v xml:space="preserve">   </v>
      </c>
      <c r="BG36" s="11" t="str">
        <f t="shared" si="9"/>
        <v>Trademark licensing</v>
      </c>
      <c r="BH36" s="11" t="str">
        <f t="shared" si="9"/>
        <v xml:space="preserve">   </v>
      </c>
      <c r="BI36" s="11" t="str">
        <f t="shared" si="9"/>
        <v xml:space="preserve">   </v>
      </c>
      <c r="BJ36" s="11" t="str">
        <f t="shared" si="9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/>
      <c r="U37" s="68"/>
      <c r="V37" s="68">
        <f t="shared" si="7"/>
        <v>0</v>
      </c>
      <c r="W37" s="68">
        <f t="shared" si="8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0"/>
        <v/>
      </c>
      <c r="AT37" s="11" t="str">
        <f t="shared" si="13"/>
        <v xml:space="preserve">          $0</v>
      </c>
      <c r="AU37" s="11" t="str">
        <f t="shared" si="13"/>
        <v xml:space="preserve">          $0</v>
      </c>
      <c r="AV37" s="11" t="str">
        <f t="shared" si="13"/>
        <v xml:space="preserve">          $0</v>
      </c>
      <c r="AW37" s="11" t="str">
        <f t="shared" si="13"/>
        <v xml:space="preserve">          $0</v>
      </c>
      <c r="AX37" s="11" t="str">
        <f t="shared" si="13"/>
        <v xml:space="preserve">          $0</v>
      </c>
      <c r="AY37" s="11" t="str">
        <f t="shared" si="13"/>
        <v xml:space="preserve">          $0</v>
      </c>
      <c r="AZ37" s="11" t="str">
        <f t="shared" si="13"/>
        <v xml:space="preserve">          $0</v>
      </c>
      <c r="BA37" s="11" t="str">
        <f t="shared" si="13"/>
        <v xml:space="preserve">          $0</v>
      </c>
      <c r="BB37" s="11" t="str">
        <f t="shared" si="13"/>
        <v xml:space="preserve">          $0</v>
      </c>
      <c r="BC37" s="11" t="str">
        <f t="shared" si="13"/>
        <v xml:space="preserve">          $0</v>
      </c>
      <c r="BD37" s="11" t="str">
        <f t="shared" si="13"/>
        <v xml:space="preserve">          $0</v>
      </c>
      <c r="BE37" s="11" t="str">
        <f t="shared" si="13"/>
        <v xml:space="preserve">          $0</v>
      </c>
      <c r="BF37" s="11" t="str">
        <f t="shared" si="9"/>
        <v xml:space="preserve">   </v>
      </c>
      <c r="BG37" s="11" t="str">
        <f t="shared" si="9"/>
        <v>Interest</v>
      </c>
      <c r="BH37" s="11" t="str">
        <f t="shared" si="9"/>
        <v xml:space="preserve">   </v>
      </c>
      <c r="BI37" s="11" t="str">
        <f t="shared" si="9"/>
        <v xml:space="preserve">   </v>
      </c>
      <c r="BJ37" s="11" t="str">
        <f t="shared" si="9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4">SUM(G7:G37)</f>
        <v>52499.999999999993</v>
      </c>
      <c r="H38" s="70">
        <f t="shared" si="14"/>
        <v>62499.999999999993</v>
      </c>
      <c r="I38" s="70">
        <f t="shared" si="14"/>
        <v>86000</v>
      </c>
      <c r="J38" s="70">
        <f t="shared" si="14"/>
        <v>52499.999999999993</v>
      </c>
      <c r="K38" s="70">
        <f t="shared" si="14"/>
        <v>152500</v>
      </c>
      <c r="L38" s="70">
        <f t="shared" si="14"/>
        <v>386000</v>
      </c>
      <c r="M38" s="70">
        <f t="shared" si="14"/>
        <v>58499.999999999993</v>
      </c>
      <c r="N38" s="70">
        <f t="shared" si="14"/>
        <v>52499.999999999993</v>
      </c>
      <c r="O38" s="70">
        <f t="shared" si="14"/>
        <v>311000</v>
      </c>
      <c r="P38" s="70">
        <f t="shared" si="14"/>
        <v>717500</v>
      </c>
      <c r="Q38" s="70">
        <f t="shared" si="14"/>
        <v>137500</v>
      </c>
      <c r="R38" s="70">
        <f t="shared" si="14"/>
        <v>86000</v>
      </c>
      <c r="S38" s="70">
        <f t="shared" si="14"/>
        <v>2155000</v>
      </c>
      <c r="T38" s="69"/>
      <c r="U38" s="69"/>
      <c r="V38" s="68">
        <f t="shared" si="7"/>
        <v>2069000</v>
      </c>
      <c r="W38" s="68">
        <f t="shared" si="8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0"/>
        <v xml:space="preserve">  $2,155,000</v>
      </c>
      <c r="AT38" s="11" t="str">
        <f t="shared" si="13"/>
        <v xml:space="preserve">     $52,500</v>
      </c>
      <c r="AU38" s="11" t="str">
        <f t="shared" si="13"/>
        <v xml:space="preserve">     $62,500</v>
      </c>
      <c r="AV38" s="11" t="str">
        <f t="shared" si="13"/>
        <v xml:space="preserve">     $86,000</v>
      </c>
      <c r="AW38" s="11" t="str">
        <f t="shared" si="13"/>
        <v xml:space="preserve">     $52,500</v>
      </c>
      <c r="AX38" s="11" t="str">
        <f t="shared" si="13"/>
        <v xml:space="preserve">    $152,500</v>
      </c>
      <c r="AY38" s="11" t="str">
        <f t="shared" si="13"/>
        <v xml:space="preserve">    $386,000</v>
      </c>
      <c r="AZ38" s="11" t="str">
        <f t="shared" si="13"/>
        <v xml:space="preserve">     $58,500</v>
      </c>
      <c r="BA38" s="11" t="str">
        <f t="shared" si="13"/>
        <v xml:space="preserve">     $52,500</v>
      </c>
      <c r="BB38" s="11" t="str">
        <f t="shared" si="13"/>
        <v xml:space="preserve">    $311,000</v>
      </c>
      <c r="BC38" s="11" t="str">
        <f t="shared" si="13"/>
        <v xml:space="preserve">    $717,500</v>
      </c>
      <c r="BD38" s="11" t="str">
        <f t="shared" si="13"/>
        <v xml:space="preserve">    $137,500</v>
      </c>
      <c r="BE38" s="11" t="str">
        <f t="shared" si="13"/>
        <v xml:space="preserve">     $86,000</v>
      </c>
      <c r="BF38" s="11" t="str">
        <f t="shared" si="9"/>
        <v xml:space="preserve">   </v>
      </c>
      <c r="BG38" s="11" t="str">
        <f t="shared" si="9"/>
        <v xml:space="preserve">   </v>
      </c>
      <c r="BH38" s="11" t="str">
        <f t="shared" si="9"/>
        <v xml:space="preserve">   </v>
      </c>
      <c r="BI38" s="11" t="str">
        <f t="shared" si="9"/>
        <v xml:space="preserve">   </v>
      </c>
      <c r="BJ38" s="11" t="str">
        <f t="shared" si="9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'[2]21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15"/>
      <c r="U39" s="15"/>
      <c r="V39" s="68">
        <f t="shared" si="7"/>
        <v>0</v>
      </c>
      <c r="W39" s="68">
        <f t="shared" si="8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0"/>
        <v xml:space="preserve">      $0,000</v>
      </c>
      <c r="AT39" s="11" t="str">
        <f t="shared" si="13"/>
        <v/>
      </c>
      <c r="AU39" s="11" t="str">
        <f t="shared" si="13"/>
        <v/>
      </c>
      <c r="AV39" s="11" t="str">
        <f t="shared" si="13"/>
        <v/>
      </c>
      <c r="AW39" s="11" t="str">
        <f t="shared" si="13"/>
        <v/>
      </c>
      <c r="AX39" s="11" t="str">
        <f t="shared" si="13"/>
        <v/>
      </c>
      <c r="AY39" s="11" t="str">
        <f t="shared" si="13"/>
        <v/>
      </c>
      <c r="AZ39" s="11" t="str">
        <f t="shared" si="13"/>
        <v/>
      </c>
      <c r="BA39" s="11" t="str">
        <f t="shared" si="13"/>
        <v/>
      </c>
      <c r="BB39" s="11" t="str">
        <f t="shared" si="13"/>
        <v/>
      </c>
      <c r="BC39" s="11" t="str">
        <f t="shared" si="13"/>
        <v/>
      </c>
      <c r="BD39" s="11" t="str">
        <f t="shared" si="13"/>
        <v/>
      </c>
      <c r="BE39" s="11" t="str">
        <f t="shared" si="13"/>
        <v/>
      </c>
      <c r="BF39" s="11" t="str">
        <f t="shared" si="9"/>
        <v xml:space="preserve">   </v>
      </c>
      <c r="BG39" s="11" t="str">
        <f t="shared" si="9"/>
        <v xml:space="preserve">   </v>
      </c>
      <c r="BH39" s="11" t="str">
        <f t="shared" si="9"/>
        <v xml:space="preserve">   </v>
      </c>
      <c r="BI39" s="11" t="str">
        <f t="shared" si="9"/>
        <v xml:space="preserve">   </v>
      </c>
      <c r="BJ39" s="11" t="str">
        <f t="shared" si="9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15"/>
      <c r="U40" s="15"/>
      <c r="V40" s="68">
        <f t="shared" si="7"/>
        <v>0</v>
      </c>
      <c r="W40" s="68" t="str">
        <f t="shared" si="8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0"/>
        <v xml:space="preserve">        FY21</v>
      </c>
      <c r="AT40" s="10" t="str">
        <f t="shared" si="13"/>
        <v xml:space="preserve">         Jan</v>
      </c>
      <c r="AU40" s="10" t="str">
        <f t="shared" si="13"/>
        <v xml:space="preserve">         Feb</v>
      </c>
      <c r="AV40" s="10" t="str">
        <f t="shared" si="13"/>
        <v xml:space="preserve">         Mar</v>
      </c>
      <c r="AW40" s="10" t="str">
        <f t="shared" si="13"/>
        <v xml:space="preserve">         Apr</v>
      </c>
      <c r="AX40" s="10" t="str">
        <f t="shared" si="13"/>
        <v xml:space="preserve">         May</v>
      </c>
      <c r="AY40" s="10" t="str">
        <f t="shared" si="13"/>
        <v xml:space="preserve">         Jun</v>
      </c>
      <c r="AZ40" s="10" t="str">
        <f t="shared" si="13"/>
        <v xml:space="preserve">         Jul</v>
      </c>
      <c r="BA40" s="10" t="str">
        <f t="shared" si="13"/>
        <v xml:space="preserve">         Aug</v>
      </c>
      <c r="BB40" s="10" t="str">
        <f t="shared" si="13"/>
        <v xml:space="preserve">         Sep</v>
      </c>
      <c r="BC40" s="10" t="str">
        <f t="shared" si="13"/>
        <v xml:space="preserve">         Oct</v>
      </c>
      <c r="BD40" s="10" t="str">
        <f t="shared" si="13"/>
        <v xml:space="preserve">         Nov</v>
      </c>
      <c r="BE40" s="10" t="str">
        <f t="shared" si="13"/>
        <v xml:space="preserve">         Dec</v>
      </c>
      <c r="BF40" s="10" t="str">
        <f t="shared" si="9"/>
        <v>Expenses</v>
      </c>
      <c r="BG40" s="10" t="str">
        <f t="shared" si="9"/>
        <v xml:space="preserve">   </v>
      </c>
      <c r="BH40" s="10" t="str">
        <f t="shared" si="9"/>
        <v xml:space="preserve">   </v>
      </c>
      <c r="BI40" s="10" t="str">
        <f t="shared" si="9"/>
        <v xml:space="preserve">   </v>
      </c>
      <c r="BJ40" s="10" t="str">
        <f t="shared" si="9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15"/>
      <c r="U41" s="15"/>
      <c r="V41" s="68">
        <f t="shared" si="7"/>
        <v>0</v>
      </c>
      <c r="W41" s="68">
        <f t="shared" si="8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6"/>
      <c r="E42" s="110"/>
      <c r="F42" s="67">
        <f>'[3]FY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/>
      <c r="U42" s="68"/>
      <c r="V42" s="68">
        <f t="shared" si="7"/>
        <v>167346.66666666669</v>
      </c>
      <c r="W42" s="68">
        <f t="shared" si="8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10"/>
      <c r="D43" s="110"/>
      <c r="E43" s="110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5">SUM(G43:R43)</f>
        <v>0</v>
      </c>
      <c r="T43" s="68"/>
      <c r="U43" s="68"/>
      <c r="V43" s="68">
        <f t="shared" si="7"/>
        <v>0</v>
      </c>
      <c r="W43" s="68">
        <f t="shared" si="8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5"/>
        <v>0</v>
      </c>
      <c r="T44" s="68"/>
      <c r="U44" s="68"/>
      <c r="V44" s="68">
        <f t="shared" si="7"/>
        <v>0</v>
      </c>
      <c r="W44" s="68">
        <f t="shared" si="8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10"/>
      <c r="D45" s="110" t="str">
        <f>D6</f>
        <v>Global AppSec</v>
      </c>
      <c r="E45" s="110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5"/>
        <v>0</v>
      </c>
      <c r="T45" s="68"/>
      <c r="U45" s="68"/>
      <c r="V45" s="68">
        <f t="shared" si="7"/>
        <v>0</v>
      </c>
      <c r="W45" s="68">
        <f t="shared" si="8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'[3]FY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5"/>
        <v>50000</v>
      </c>
      <c r="T46" s="68"/>
      <c r="U46" s="68"/>
      <c r="V46" s="68">
        <f t="shared" si="7"/>
        <v>50000</v>
      </c>
      <c r="W46" s="68">
        <f t="shared" si="8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6">E8</f>
        <v>Global AppSec Virtual ASIA Pac</v>
      </c>
      <c r="F47" s="67">
        <f>'[3]FY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5"/>
        <v>50000</v>
      </c>
      <c r="T47" s="68"/>
      <c r="U47" s="68"/>
      <c r="V47" s="68">
        <f t="shared" si="7"/>
        <v>50000</v>
      </c>
      <c r="W47" s="68">
        <f t="shared" si="8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6"/>
        <v>Global AppSec in person SF</v>
      </c>
      <c r="F48" s="67">
        <f>'[3]FY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5"/>
        <v>520000</v>
      </c>
      <c r="T48" s="68"/>
      <c r="U48" s="68"/>
      <c r="V48" s="68">
        <f t="shared" si="7"/>
        <v>520000</v>
      </c>
      <c r="W48" s="68">
        <f t="shared" si="8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6" t="str">
        <f>D16</f>
        <v>AppSec Days</v>
      </c>
      <c r="E49" s="106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5"/>
        <v>0</v>
      </c>
      <c r="T49" s="68"/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5"/>
        <v>0</v>
      </c>
      <c r="T50" s="68"/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'[3]FY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5"/>
        <v>55000</v>
      </c>
      <c r="T51" s="68"/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5"/>
        <v>0</v>
      </c>
      <c r="T52" s="68"/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'[3]FY 22 Bud by account'!D48</f>
        <v>Career Fair</v>
      </c>
      <c r="F53" s="67">
        <f>'[3]FY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5"/>
        <v>7500</v>
      </c>
      <c r="T53" s="68"/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'[3]FY 22 Bud by account'!D49</f>
        <v>Training</v>
      </c>
      <c r="F54" s="67">
        <f>'[3]FY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5"/>
        <v>18080</v>
      </c>
      <c r="T54" s="68"/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/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/>
      <c r="U56" s="68"/>
      <c r="V56" s="68">
        <f t="shared" si="7"/>
        <v>0</v>
      </c>
      <c r="W56" s="68">
        <f t="shared" si="8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/>
      <c r="U57" s="68"/>
      <c r="V57" s="68">
        <f t="shared" si="7"/>
        <v>0</v>
      </c>
      <c r="W57" s="68">
        <f t="shared" si="8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/>
      <c r="U58" s="68"/>
      <c r="V58" s="68">
        <f t="shared" si="7"/>
        <v>0</v>
      </c>
      <c r="W58" s="68">
        <f t="shared" si="8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'[3]FY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5"/>
        <v>90000</v>
      </c>
      <c r="T59" s="68"/>
      <c r="U59" s="68"/>
      <c r="V59" s="68">
        <f t="shared" si="7"/>
        <v>90000</v>
      </c>
      <c r="W59" s="68">
        <f t="shared" si="8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5"/>
        <v>0</v>
      </c>
      <c r="T60" s="68"/>
      <c r="U60" s="68"/>
      <c r="V60" s="68">
        <f t="shared" si="7"/>
        <v>0</v>
      </c>
      <c r="W60" s="68">
        <f t="shared" si="8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'[3]FY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5"/>
        <v>60000</v>
      </c>
      <c r="T61" s="68"/>
      <c r="U61" s="68"/>
      <c r="V61" s="68">
        <f t="shared" si="7"/>
        <v>55000</v>
      </c>
      <c r="W61" s="68">
        <f t="shared" si="8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5"/>
        <v>0</v>
      </c>
      <c r="T62" s="68"/>
      <c r="U62" s="68"/>
      <c r="V62" s="68">
        <f t="shared" si="7"/>
        <v>0</v>
      </c>
      <c r="W62" s="68">
        <f t="shared" si="8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5"/>
        <v>0</v>
      </c>
      <c r="T63" s="68"/>
      <c r="U63" s="68"/>
      <c r="V63" s="68">
        <f t="shared" si="7"/>
        <v>0</v>
      </c>
      <c r="W63" s="68">
        <f t="shared" si="8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'[3]FY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5"/>
        <v>18000</v>
      </c>
      <c r="T64" s="68"/>
      <c r="U64" s="68"/>
      <c r="V64" s="68">
        <f t="shared" si="7"/>
        <v>16500</v>
      </c>
      <c r="W64" s="68">
        <f t="shared" si="8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'[3]FY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5"/>
        <v>183813.47040000002</v>
      </c>
      <c r="T65" s="68"/>
      <c r="U65" s="68"/>
      <c r="V65" s="68">
        <f t="shared" si="7"/>
        <v>168495.68120000002</v>
      </c>
      <c r="W65" s="68">
        <f t="shared" si="8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5"/>
        <v>0</v>
      </c>
      <c r="T66" s="68"/>
      <c r="U66" s="68"/>
      <c r="V66" s="68">
        <f t="shared" si="7"/>
        <v>0</v>
      </c>
      <c r="W66" s="68">
        <f t="shared" si="8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5"/>
        <v>0</v>
      </c>
      <c r="T67" s="68"/>
      <c r="U67" s="68"/>
      <c r="V67" s="68">
        <f t="shared" si="7"/>
        <v>0</v>
      </c>
      <c r="W67" s="68">
        <f t="shared" si="8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5"/>
        <v>0</v>
      </c>
      <c r="T68" s="68"/>
      <c r="U68" s="68"/>
      <c r="V68" s="68">
        <f t="shared" si="7"/>
        <v>0</v>
      </c>
      <c r="W68" s="68">
        <f t="shared" si="8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5"/>
        <v>0</v>
      </c>
      <c r="T69" s="68"/>
      <c r="U69" s="68"/>
      <c r="V69" s="68">
        <f t="shared" si="7"/>
        <v>0</v>
      </c>
      <c r="W69" s="68">
        <f t="shared" si="8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5"/>
        <v>0</v>
      </c>
      <c r="T70" s="68"/>
      <c r="U70" s="68"/>
      <c r="V70" s="68">
        <f t="shared" si="7"/>
        <v>0</v>
      </c>
      <c r="W70" s="68">
        <f t="shared" si="8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5"/>
        <v>0</v>
      </c>
      <c r="T71" s="68"/>
      <c r="U71" s="68"/>
      <c r="V71" s="68">
        <f t="shared" si="7"/>
        <v>0</v>
      </c>
      <c r="W71" s="68">
        <f t="shared" si="8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'[3]FY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5"/>
        <v>9000</v>
      </c>
      <c r="T72" s="68"/>
      <c r="U72" s="68"/>
      <c r="V72" s="68">
        <f t="shared" si="7"/>
        <v>8250</v>
      </c>
      <c r="W72" s="68">
        <f t="shared" si="8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5"/>
        <v>0</v>
      </c>
      <c r="T73" s="68"/>
      <c r="U73" s="68"/>
      <c r="V73" s="68">
        <f t="shared" ref="V73:V134" si="17">SUM(G73:Q73)</f>
        <v>0</v>
      </c>
      <c r="W73" s="68">
        <f t="shared" ref="W73:W134" si="18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5"/>
        <v>0</v>
      </c>
      <c r="T74" s="68"/>
      <c r="U74" s="68"/>
      <c r="V74" s="68">
        <f t="shared" si="17"/>
        <v>0</v>
      </c>
      <c r="W74" s="68">
        <f t="shared" si="18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'[3]FY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5"/>
        <v>18000</v>
      </c>
      <c r="T75" s="68"/>
      <c r="U75" s="68"/>
      <c r="V75" s="68">
        <f t="shared" si="17"/>
        <v>16500</v>
      </c>
      <c r="W75" s="68">
        <f t="shared" si="18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'[3]FY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5"/>
        <v>81009.314399999974</v>
      </c>
      <c r="T76" s="68"/>
      <c r="U76" s="68"/>
      <c r="V76" s="68">
        <f t="shared" si="17"/>
        <v>74258.538199999981</v>
      </c>
      <c r="W76" s="68">
        <f t="shared" si="18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5"/>
        <v>0</v>
      </c>
      <c r="T77" s="68"/>
      <c r="U77" s="68"/>
      <c r="V77" s="68">
        <f t="shared" si="17"/>
        <v>0</v>
      </c>
      <c r="W77" s="68">
        <f t="shared" si="18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0"/>
        <v/>
      </c>
      <c r="AT77" s="11" t="str">
        <f t="shared" ref="AT77:BE92" si="19">IF(ISBLANK(G77),"",RIGHT(REPT(" ",15)&amp;TEXT(G77,"$#,##0"),12))</f>
        <v/>
      </c>
      <c r="AU77" s="11" t="str">
        <f t="shared" si="19"/>
        <v/>
      </c>
      <c r="AV77" s="11" t="str">
        <f t="shared" si="19"/>
        <v/>
      </c>
      <c r="AW77" s="11" t="str">
        <f t="shared" si="19"/>
        <v/>
      </c>
      <c r="AX77" s="11" t="str">
        <f t="shared" si="19"/>
        <v/>
      </c>
      <c r="AY77" s="11" t="str">
        <f t="shared" si="19"/>
        <v/>
      </c>
      <c r="AZ77" s="11" t="str">
        <f t="shared" si="19"/>
        <v/>
      </c>
      <c r="BA77" s="11" t="str">
        <f t="shared" si="19"/>
        <v/>
      </c>
      <c r="BB77" s="11" t="str">
        <f t="shared" si="19"/>
        <v/>
      </c>
      <c r="BC77" s="11" t="str">
        <f t="shared" si="19"/>
        <v/>
      </c>
      <c r="BD77" s="11" t="str">
        <f t="shared" si="19"/>
        <v/>
      </c>
      <c r="BE77" s="11" t="str">
        <f t="shared" si="19"/>
        <v/>
      </c>
      <c r="BF77" s="11" t="str">
        <f t="shared" ref="BF77:BJ92" si="20">IF(ISBLANK(A77),"   ",A77)</f>
        <v xml:space="preserve">   </v>
      </c>
      <c r="BG77" s="11" t="str">
        <f t="shared" si="20"/>
        <v xml:space="preserve">   </v>
      </c>
      <c r="BH77" s="11" t="str">
        <f t="shared" si="20"/>
        <v>Local Partnerships</v>
      </c>
      <c r="BI77" s="11" t="str">
        <f t="shared" si="20"/>
        <v xml:space="preserve">   </v>
      </c>
      <c r="BJ77" s="11" t="str">
        <f t="shared" si="20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5"/>
        <v>0</v>
      </c>
      <c r="T78" s="68"/>
      <c r="U78" s="68"/>
      <c r="V78" s="68">
        <f t="shared" si="17"/>
        <v>0</v>
      </c>
      <c r="W78" s="68">
        <f t="shared" si="18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0"/>
        <v/>
      </c>
      <c r="AT78" s="11" t="str">
        <f t="shared" si="19"/>
        <v/>
      </c>
      <c r="AU78" s="11" t="str">
        <f t="shared" si="19"/>
        <v/>
      </c>
      <c r="AV78" s="11" t="str">
        <f t="shared" si="19"/>
        <v/>
      </c>
      <c r="AW78" s="11" t="str">
        <f t="shared" si="19"/>
        <v/>
      </c>
      <c r="AX78" s="11" t="str">
        <f t="shared" si="19"/>
        <v/>
      </c>
      <c r="AY78" s="11" t="str">
        <f t="shared" si="19"/>
        <v/>
      </c>
      <c r="AZ78" s="11" t="str">
        <f t="shared" si="19"/>
        <v/>
      </c>
      <c r="BA78" s="11" t="str">
        <f t="shared" si="19"/>
        <v/>
      </c>
      <c r="BB78" s="11" t="str">
        <f t="shared" si="19"/>
        <v/>
      </c>
      <c r="BC78" s="11" t="str">
        <f t="shared" si="19"/>
        <v/>
      </c>
      <c r="BD78" s="11" t="str">
        <f t="shared" si="19"/>
        <v/>
      </c>
      <c r="BE78" s="11" t="str">
        <f t="shared" si="19"/>
        <v/>
      </c>
      <c r="BF78" s="11" t="str">
        <f t="shared" si="20"/>
        <v xml:space="preserve">   </v>
      </c>
      <c r="BG78" s="11" t="str">
        <f t="shared" si="20"/>
        <v xml:space="preserve">   </v>
      </c>
      <c r="BH78" s="11" t="str">
        <f t="shared" si="20"/>
        <v>Global Partnerships</v>
      </c>
      <c r="BI78" s="11" t="str">
        <f t="shared" si="20"/>
        <v xml:space="preserve">   </v>
      </c>
      <c r="BJ78" s="11" t="str">
        <f t="shared" si="20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5"/>
        <v>0</v>
      </c>
      <c r="T79" s="68"/>
      <c r="U79" s="68"/>
      <c r="V79" s="68">
        <f t="shared" si="17"/>
        <v>0</v>
      </c>
      <c r="W79" s="68">
        <f t="shared" si="18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0"/>
        <v/>
      </c>
      <c r="AT79" s="11" t="str">
        <f t="shared" si="19"/>
        <v/>
      </c>
      <c r="AU79" s="11" t="str">
        <f t="shared" si="19"/>
        <v/>
      </c>
      <c r="AV79" s="11" t="str">
        <f t="shared" si="19"/>
        <v/>
      </c>
      <c r="AW79" s="11" t="str">
        <f t="shared" si="19"/>
        <v/>
      </c>
      <c r="AX79" s="11" t="str">
        <f t="shared" si="19"/>
        <v/>
      </c>
      <c r="AY79" s="11" t="str">
        <f t="shared" si="19"/>
        <v/>
      </c>
      <c r="AZ79" s="11" t="str">
        <f t="shared" si="19"/>
        <v/>
      </c>
      <c r="BA79" s="11" t="str">
        <f t="shared" si="19"/>
        <v/>
      </c>
      <c r="BB79" s="11" t="str">
        <f t="shared" si="19"/>
        <v/>
      </c>
      <c r="BC79" s="11" t="str">
        <f t="shared" si="19"/>
        <v/>
      </c>
      <c r="BD79" s="11" t="str">
        <f t="shared" si="19"/>
        <v/>
      </c>
      <c r="BE79" s="11" t="str">
        <f t="shared" si="19"/>
        <v/>
      </c>
      <c r="BF79" s="11" t="str">
        <f t="shared" si="20"/>
        <v xml:space="preserve">   </v>
      </c>
      <c r="BG79" s="11" t="str">
        <f t="shared" si="20"/>
        <v xml:space="preserve">   </v>
      </c>
      <c r="BH79" s="11" t="str">
        <f t="shared" si="20"/>
        <v>Online</v>
      </c>
      <c r="BI79" s="11" t="str">
        <f t="shared" si="20"/>
        <v xml:space="preserve">   </v>
      </c>
      <c r="BJ79" s="11" t="str">
        <f t="shared" si="20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5"/>
        <v>0</v>
      </c>
      <c r="T80" s="68"/>
      <c r="U80" s="68"/>
      <c r="V80" s="68">
        <f t="shared" si="17"/>
        <v>0</v>
      </c>
      <c r="W80" s="68">
        <f t="shared" si="18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0"/>
        <v/>
      </c>
      <c r="AT80" s="11" t="str">
        <f t="shared" si="19"/>
        <v/>
      </c>
      <c r="AU80" s="11" t="str">
        <f t="shared" si="19"/>
        <v/>
      </c>
      <c r="AV80" s="11" t="str">
        <f t="shared" si="19"/>
        <v/>
      </c>
      <c r="AW80" s="11" t="str">
        <f t="shared" si="19"/>
        <v/>
      </c>
      <c r="AX80" s="11" t="str">
        <f t="shared" si="19"/>
        <v/>
      </c>
      <c r="AY80" s="11" t="str">
        <f t="shared" si="19"/>
        <v/>
      </c>
      <c r="AZ80" s="11" t="str">
        <f t="shared" si="19"/>
        <v/>
      </c>
      <c r="BA80" s="11" t="str">
        <f t="shared" si="19"/>
        <v/>
      </c>
      <c r="BB80" s="11" t="str">
        <f t="shared" si="19"/>
        <v/>
      </c>
      <c r="BC80" s="11" t="str">
        <f t="shared" si="19"/>
        <v/>
      </c>
      <c r="BD80" s="11" t="str">
        <f t="shared" si="19"/>
        <v/>
      </c>
      <c r="BE80" s="11" t="str">
        <f t="shared" si="19"/>
        <v/>
      </c>
      <c r="BF80" s="11" t="str">
        <f t="shared" si="20"/>
        <v xml:space="preserve">   </v>
      </c>
      <c r="BG80" s="11" t="str">
        <f t="shared" si="20"/>
        <v xml:space="preserve">   </v>
      </c>
      <c r="BH80" s="11" t="str">
        <f t="shared" si="20"/>
        <v>Branding &amp; Trademarks</v>
      </c>
      <c r="BI80" s="11" t="str">
        <f t="shared" si="20"/>
        <v xml:space="preserve">   </v>
      </c>
      <c r="BJ80" s="11" t="str">
        <f t="shared" si="20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5"/>
        <v>0</v>
      </c>
      <c r="T81" s="68"/>
      <c r="U81" s="68"/>
      <c r="V81" s="68">
        <f t="shared" si="17"/>
        <v>0</v>
      </c>
      <c r="W81" s="68">
        <f t="shared" si="18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0"/>
        <v/>
      </c>
      <c r="AT81" s="11" t="str">
        <f t="shared" si="19"/>
        <v/>
      </c>
      <c r="AU81" s="11" t="str">
        <f t="shared" si="19"/>
        <v/>
      </c>
      <c r="AV81" s="11" t="str">
        <f t="shared" si="19"/>
        <v/>
      </c>
      <c r="AW81" s="11" t="str">
        <f t="shared" si="19"/>
        <v/>
      </c>
      <c r="AX81" s="11" t="str">
        <f t="shared" si="19"/>
        <v/>
      </c>
      <c r="AY81" s="11" t="str">
        <f t="shared" si="19"/>
        <v/>
      </c>
      <c r="AZ81" s="11" t="str">
        <f t="shared" si="19"/>
        <v/>
      </c>
      <c r="BA81" s="11" t="str">
        <f t="shared" si="19"/>
        <v/>
      </c>
      <c r="BB81" s="11" t="str">
        <f t="shared" si="19"/>
        <v/>
      </c>
      <c r="BC81" s="11" t="str">
        <f t="shared" si="19"/>
        <v/>
      </c>
      <c r="BD81" s="11" t="str">
        <f t="shared" si="19"/>
        <v/>
      </c>
      <c r="BE81" s="11" t="str">
        <f t="shared" si="19"/>
        <v/>
      </c>
      <c r="BF81" s="11" t="str">
        <f t="shared" si="20"/>
        <v xml:space="preserve">   </v>
      </c>
      <c r="BG81" s="11" t="str">
        <f t="shared" si="20"/>
        <v xml:space="preserve">   </v>
      </c>
      <c r="BH81" s="11" t="str">
        <f t="shared" si="20"/>
        <v>Event Promotions</v>
      </c>
      <c r="BI81" s="11" t="str">
        <f t="shared" si="20"/>
        <v xml:space="preserve">   </v>
      </c>
      <c r="BJ81" s="11" t="str">
        <f t="shared" si="20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5"/>
        <v>0</v>
      </c>
      <c r="T82" s="68"/>
      <c r="U82" s="68"/>
      <c r="V82" s="68">
        <f t="shared" si="17"/>
        <v>0</v>
      </c>
      <c r="W82" s="68">
        <f t="shared" si="18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0"/>
        <v/>
      </c>
      <c r="AT82" s="11" t="str">
        <f t="shared" si="19"/>
        <v/>
      </c>
      <c r="AU82" s="11" t="str">
        <f t="shared" si="19"/>
        <v/>
      </c>
      <c r="AV82" s="11" t="str">
        <f t="shared" si="19"/>
        <v/>
      </c>
      <c r="AW82" s="11" t="str">
        <f t="shared" si="19"/>
        <v/>
      </c>
      <c r="AX82" s="11" t="str">
        <f t="shared" si="19"/>
        <v/>
      </c>
      <c r="AY82" s="11" t="str">
        <f t="shared" si="19"/>
        <v/>
      </c>
      <c r="AZ82" s="11" t="str">
        <f t="shared" si="19"/>
        <v/>
      </c>
      <c r="BA82" s="11" t="str">
        <f t="shared" si="19"/>
        <v/>
      </c>
      <c r="BB82" s="11" t="str">
        <f t="shared" si="19"/>
        <v/>
      </c>
      <c r="BC82" s="11" t="str">
        <f t="shared" si="19"/>
        <v/>
      </c>
      <c r="BD82" s="11" t="str">
        <f t="shared" si="19"/>
        <v/>
      </c>
      <c r="BE82" s="11" t="str">
        <f t="shared" si="19"/>
        <v/>
      </c>
      <c r="BF82" s="11" t="str">
        <f t="shared" si="20"/>
        <v xml:space="preserve">   </v>
      </c>
      <c r="BG82" s="11" t="str">
        <f t="shared" si="20"/>
        <v xml:space="preserve">   </v>
      </c>
      <c r="BH82" s="11" t="str">
        <f t="shared" si="20"/>
        <v>Public Relations</v>
      </c>
      <c r="BI82" s="11" t="str">
        <f t="shared" si="20"/>
        <v xml:space="preserve">   </v>
      </c>
      <c r="BJ82" s="11" t="str">
        <f t="shared" si="20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5"/>
        <v>0</v>
      </c>
      <c r="T83" s="68"/>
      <c r="U83" s="68"/>
      <c r="V83" s="68">
        <f t="shared" si="17"/>
        <v>0</v>
      </c>
      <c r="W83" s="68">
        <f t="shared" si="18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0"/>
        <v/>
      </c>
      <c r="AT83" s="11" t="str">
        <f t="shared" si="19"/>
        <v/>
      </c>
      <c r="AU83" s="11" t="str">
        <f t="shared" si="19"/>
        <v/>
      </c>
      <c r="AV83" s="11" t="str">
        <f t="shared" si="19"/>
        <v/>
      </c>
      <c r="AW83" s="11" t="str">
        <f t="shared" si="19"/>
        <v/>
      </c>
      <c r="AX83" s="11" t="str">
        <f t="shared" si="19"/>
        <v/>
      </c>
      <c r="AY83" s="11" t="str">
        <f t="shared" si="19"/>
        <v/>
      </c>
      <c r="AZ83" s="11" t="str">
        <f t="shared" si="19"/>
        <v/>
      </c>
      <c r="BA83" s="11" t="str">
        <f t="shared" si="19"/>
        <v/>
      </c>
      <c r="BB83" s="11" t="str">
        <f t="shared" si="19"/>
        <v/>
      </c>
      <c r="BC83" s="11" t="str">
        <f t="shared" si="19"/>
        <v/>
      </c>
      <c r="BD83" s="11" t="str">
        <f t="shared" si="19"/>
        <v/>
      </c>
      <c r="BE83" s="11" t="str">
        <f t="shared" si="19"/>
        <v/>
      </c>
      <c r="BF83" s="11" t="str">
        <f t="shared" si="20"/>
        <v xml:space="preserve">   </v>
      </c>
      <c r="BG83" s="11" t="str">
        <f t="shared" si="20"/>
        <v xml:space="preserve">   </v>
      </c>
      <c r="BH83" s="11" t="str">
        <f t="shared" si="20"/>
        <v xml:space="preserve">   </v>
      </c>
      <c r="BI83" s="11" t="str">
        <f t="shared" si="20"/>
        <v xml:space="preserve">   </v>
      </c>
      <c r="BJ83" s="11" t="str">
        <f t="shared" si="20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5"/>
        <v>0</v>
      </c>
      <c r="T84" s="68"/>
      <c r="U84" s="68"/>
      <c r="V84" s="68">
        <f t="shared" si="17"/>
        <v>0</v>
      </c>
      <c r="W84" s="68">
        <f t="shared" si="18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0"/>
        <v/>
      </c>
      <c r="AT84" s="11" t="str">
        <f t="shared" si="19"/>
        <v/>
      </c>
      <c r="AU84" s="11" t="str">
        <f t="shared" si="19"/>
        <v/>
      </c>
      <c r="AV84" s="11" t="str">
        <f t="shared" si="19"/>
        <v/>
      </c>
      <c r="AW84" s="11" t="str">
        <f t="shared" si="19"/>
        <v/>
      </c>
      <c r="AX84" s="11" t="str">
        <f t="shared" si="19"/>
        <v/>
      </c>
      <c r="AY84" s="11" t="str">
        <f t="shared" si="19"/>
        <v/>
      </c>
      <c r="AZ84" s="11" t="str">
        <f t="shared" si="19"/>
        <v/>
      </c>
      <c r="BA84" s="11" t="str">
        <f t="shared" si="19"/>
        <v/>
      </c>
      <c r="BB84" s="11" t="str">
        <f t="shared" si="19"/>
        <v/>
      </c>
      <c r="BC84" s="11" t="str">
        <f t="shared" si="19"/>
        <v/>
      </c>
      <c r="BD84" s="11" t="str">
        <f t="shared" si="19"/>
        <v/>
      </c>
      <c r="BE84" s="11" t="str">
        <f t="shared" si="19"/>
        <v/>
      </c>
      <c r="BF84" s="11" t="str">
        <f t="shared" si="20"/>
        <v xml:space="preserve">   </v>
      </c>
      <c r="BG84" s="11" t="str">
        <f t="shared" si="20"/>
        <v>Chapters and Members Program</v>
      </c>
      <c r="BH84" s="11" t="str">
        <f t="shared" si="20"/>
        <v xml:space="preserve">   </v>
      </c>
      <c r="BI84" s="11" t="str">
        <f t="shared" si="20"/>
        <v xml:space="preserve">   </v>
      </c>
      <c r="BJ84" s="11" t="str">
        <f t="shared" si="20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5"/>
        <v>0</v>
      </c>
      <c r="T85" s="68"/>
      <c r="U85" s="68"/>
      <c r="V85" s="68">
        <f t="shared" si="17"/>
        <v>0</v>
      </c>
      <c r="W85" s="68">
        <f t="shared" si="18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0"/>
        <v/>
      </c>
      <c r="AT85" s="11" t="str">
        <f t="shared" si="19"/>
        <v/>
      </c>
      <c r="AU85" s="11" t="str">
        <f t="shared" si="19"/>
        <v/>
      </c>
      <c r="AV85" s="11" t="str">
        <f t="shared" si="19"/>
        <v/>
      </c>
      <c r="AW85" s="11" t="str">
        <f t="shared" si="19"/>
        <v/>
      </c>
      <c r="AX85" s="11" t="str">
        <f t="shared" si="19"/>
        <v/>
      </c>
      <c r="AY85" s="11" t="str">
        <f t="shared" si="19"/>
        <v/>
      </c>
      <c r="AZ85" s="11" t="str">
        <f t="shared" si="19"/>
        <v/>
      </c>
      <c r="BA85" s="11" t="str">
        <f t="shared" si="19"/>
        <v/>
      </c>
      <c r="BB85" s="11" t="str">
        <f t="shared" si="19"/>
        <v/>
      </c>
      <c r="BC85" s="11" t="str">
        <f t="shared" si="19"/>
        <v/>
      </c>
      <c r="BD85" s="11" t="str">
        <f t="shared" si="19"/>
        <v/>
      </c>
      <c r="BE85" s="11" t="str">
        <f t="shared" si="19"/>
        <v/>
      </c>
      <c r="BF85" s="11" t="str">
        <f t="shared" si="20"/>
        <v xml:space="preserve">   </v>
      </c>
      <c r="BG85" s="11" t="str">
        <f t="shared" si="20"/>
        <v xml:space="preserve">   </v>
      </c>
      <c r="BH85" s="11" t="str">
        <f t="shared" si="20"/>
        <v>Grants</v>
      </c>
      <c r="BI85" s="11" t="str">
        <f t="shared" si="20"/>
        <v xml:space="preserve">   </v>
      </c>
      <c r="BJ85" s="11" t="str">
        <f t="shared" si="20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5"/>
        <v>0</v>
      </c>
      <c r="T86" s="68"/>
      <c r="U86" s="68"/>
      <c r="V86" s="68">
        <f t="shared" si="17"/>
        <v>0</v>
      </c>
      <c r="W86" s="68">
        <f t="shared" si="18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0"/>
        <v/>
      </c>
      <c r="AT86" s="11" t="str">
        <f t="shared" si="19"/>
        <v/>
      </c>
      <c r="AU86" s="11" t="str">
        <f t="shared" si="19"/>
        <v/>
      </c>
      <c r="AV86" s="11" t="str">
        <f t="shared" si="19"/>
        <v/>
      </c>
      <c r="AW86" s="11" t="str">
        <f t="shared" si="19"/>
        <v/>
      </c>
      <c r="AX86" s="11" t="str">
        <f t="shared" si="19"/>
        <v/>
      </c>
      <c r="AY86" s="11" t="str">
        <f t="shared" si="19"/>
        <v/>
      </c>
      <c r="AZ86" s="11" t="str">
        <f t="shared" si="19"/>
        <v/>
      </c>
      <c r="BA86" s="11" t="str">
        <f t="shared" si="19"/>
        <v/>
      </c>
      <c r="BB86" s="11" t="str">
        <f t="shared" si="19"/>
        <v/>
      </c>
      <c r="BC86" s="11" t="str">
        <f t="shared" si="19"/>
        <v/>
      </c>
      <c r="BD86" s="11" t="str">
        <f t="shared" si="19"/>
        <v/>
      </c>
      <c r="BE86" s="11" t="str">
        <f t="shared" si="19"/>
        <v/>
      </c>
      <c r="BF86" s="11" t="str">
        <f t="shared" si="20"/>
        <v xml:space="preserve">   </v>
      </c>
      <c r="BG86" s="11" t="str">
        <f t="shared" si="20"/>
        <v xml:space="preserve">   </v>
      </c>
      <c r="BH86" s="11" t="str">
        <f t="shared" si="20"/>
        <v>Expenses</v>
      </c>
      <c r="BI86" s="11" t="str">
        <f t="shared" si="20"/>
        <v xml:space="preserve">   </v>
      </c>
      <c r="BJ86" s="11" t="str">
        <f t="shared" si="20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7764</v>
      </c>
      <c r="D87" s="5"/>
      <c r="E87" s="5"/>
      <c r="F87" s="67">
        <f>'[3]FY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5"/>
        <v>30000</v>
      </c>
      <c r="T87" s="68"/>
      <c r="U87" s="68"/>
      <c r="V87" s="68">
        <f t="shared" si="17"/>
        <v>30000</v>
      </c>
      <c r="W87" s="68">
        <f t="shared" si="18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0"/>
        <v xml:space="preserve">     $30,000</v>
      </c>
      <c r="AT87" s="11" t="str">
        <f t="shared" si="19"/>
        <v/>
      </c>
      <c r="AU87" s="11" t="str">
        <f t="shared" si="19"/>
        <v/>
      </c>
      <c r="AV87" s="11" t="str">
        <f t="shared" si="19"/>
        <v xml:space="preserve">     $10,000</v>
      </c>
      <c r="AW87" s="11" t="str">
        <f t="shared" si="19"/>
        <v/>
      </c>
      <c r="AX87" s="11" t="str">
        <f t="shared" si="19"/>
        <v xml:space="preserve">     $10,000</v>
      </c>
      <c r="AY87" s="11" t="str">
        <f t="shared" si="19"/>
        <v/>
      </c>
      <c r="AZ87" s="11" t="str">
        <f t="shared" si="19"/>
        <v xml:space="preserve">     $10,000</v>
      </c>
      <c r="BA87" s="11" t="str">
        <f t="shared" si="19"/>
        <v/>
      </c>
      <c r="BB87" s="11" t="str">
        <f t="shared" si="19"/>
        <v/>
      </c>
      <c r="BC87" s="11" t="str">
        <f t="shared" si="19"/>
        <v/>
      </c>
      <c r="BD87" s="11" t="str">
        <f t="shared" si="19"/>
        <v/>
      </c>
      <c r="BE87" s="11" t="str">
        <f t="shared" si="19"/>
        <v/>
      </c>
      <c r="BF87" s="11" t="str">
        <f t="shared" si="20"/>
        <v xml:space="preserve">   </v>
      </c>
      <c r="BG87" s="11" t="str">
        <f t="shared" si="20"/>
        <v xml:space="preserve">   </v>
      </c>
      <c r="BH87" s="11" t="str">
        <f t="shared" si="20"/>
        <v>Assoc mgt system</v>
      </c>
      <c r="BI87" s="11" t="str">
        <f t="shared" si="20"/>
        <v xml:space="preserve">   </v>
      </c>
      <c r="BJ87" s="11" t="str">
        <f t="shared" si="20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'[3]FY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5"/>
        <v>60000</v>
      </c>
      <c r="T88" s="68"/>
      <c r="U88" s="68"/>
      <c r="V88" s="68">
        <f t="shared" si="17"/>
        <v>55000</v>
      </c>
      <c r="W88" s="68">
        <f t="shared" si="18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0"/>
        <v xml:space="preserve">     $60,000</v>
      </c>
      <c r="AT88" s="11" t="str">
        <f t="shared" si="19"/>
        <v xml:space="preserve">      $5,000</v>
      </c>
      <c r="AU88" s="11" t="str">
        <f t="shared" si="19"/>
        <v xml:space="preserve">      $5,000</v>
      </c>
      <c r="AV88" s="11" t="str">
        <f t="shared" si="19"/>
        <v xml:space="preserve">      $5,000</v>
      </c>
      <c r="AW88" s="11" t="str">
        <f t="shared" si="19"/>
        <v xml:space="preserve">      $5,000</v>
      </c>
      <c r="AX88" s="11" t="str">
        <f t="shared" si="19"/>
        <v xml:space="preserve">      $5,000</v>
      </c>
      <c r="AY88" s="11" t="str">
        <f t="shared" si="19"/>
        <v xml:space="preserve">      $5,000</v>
      </c>
      <c r="AZ88" s="11" t="str">
        <f t="shared" si="19"/>
        <v xml:space="preserve">      $5,000</v>
      </c>
      <c r="BA88" s="11" t="str">
        <f t="shared" si="19"/>
        <v xml:space="preserve">      $5,000</v>
      </c>
      <c r="BB88" s="11" t="str">
        <f t="shared" si="19"/>
        <v xml:space="preserve">      $5,000</v>
      </c>
      <c r="BC88" s="11" t="str">
        <f t="shared" si="19"/>
        <v xml:space="preserve">      $5,000</v>
      </c>
      <c r="BD88" s="11" t="str">
        <f t="shared" si="19"/>
        <v xml:space="preserve">      $5,000</v>
      </c>
      <c r="BE88" s="11" t="str">
        <f t="shared" si="19"/>
        <v xml:space="preserve">      $5,000</v>
      </c>
      <c r="BF88" s="11" t="str">
        <f t="shared" si="20"/>
        <v xml:space="preserve">   </v>
      </c>
      <c r="BG88" s="11" t="str">
        <f t="shared" si="20"/>
        <v xml:space="preserve">   </v>
      </c>
      <c r="BH88" s="11" t="str">
        <f t="shared" si="20"/>
        <v>Chapter pool/seed funds</v>
      </c>
      <c r="BI88" s="11" t="str">
        <f t="shared" si="20"/>
        <v xml:space="preserve">   </v>
      </c>
      <c r="BJ88" s="11" t="str">
        <f t="shared" si="20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5"/>
        <v>0</v>
      </c>
      <c r="T89" s="68"/>
      <c r="U89" s="68"/>
      <c r="V89" s="68">
        <f t="shared" si="17"/>
        <v>0</v>
      </c>
      <c r="W89" s="68">
        <f t="shared" si="18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0"/>
        <v/>
      </c>
      <c r="AT89" s="11" t="str">
        <f t="shared" si="19"/>
        <v/>
      </c>
      <c r="AU89" s="11" t="str">
        <f t="shared" si="19"/>
        <v/>
      </c>
      <c r="AV89" s="11" t="str">
        <f t="shared" si="19"/>
        <v/>
      </c>
      <c r="AW89" s="11" t="str">
        <f t="shared" si="19"/>
        <v/>
      </c>
      <c r="AX89" s="11" t="str">
        <f t="shared" si="19"/>
        <v/>
      </c>
      <c r="AY89" s="11" t="str">
        <f t="shared" si="19"/>
        <v/>
      </c>
      <c r="AZ89" s="11" t="str">
        <f t="shared" si="19"/>
        <v/>
      </c>
      <c r="BA89" s="11" t="str">
        <f t="shared" si="19"/>
        <v/>
      </c>
      <c r="BB89" s="11" t="str">
        <f t="shared" si="19"/>
        <v/>
      </c>
      <c r="BC89" s="11" t="str">
        <f t="shared" si="19"/>
        <v/>
      </c>
      <c r="BD89" s="11" t="str">
        <f t="shared" si="19"/>
        <v/>
      </c>
      <c r="BE89" s="11" t="str">
        <f t="shared" si="19"/>
        <v/>
      </c>
      <c r="BF89" s="11" t="str">
        <f t="shared" si="20"/>
        <v xml:space="preserve">   </v>
      </c>
      <c r="BG89" s="11" t="str">
        <f t="shared" si="20"/>
        <v xml:space="preserve">   </v>
      </c>
      <c r="BH89" s="11" t="str">
        <f t="shared" si="20"/>
        <v>Scholarships</v>
      </c>
      <c r="BI89" s="11" t="str">
        <f t="shared" si="20"/>
        <v xml:space="preserve">   </v>
      </c>
      <c r="BJ89" s="11" t="str">
        <f t="shared" si="20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5"/>
        <v>0</v>
      </c>
      <c r="T90" s="68"/>
      <c r="U90" s="68"/>
      <c r="V90" s="68">
        <f t="shared" si="17"/>
        <v>0</v>
      </c>
      <c r="W90" s="68">
        <f t="shared" si="18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0"/>
        <v/>
      </c>
      <c r="AT90" s="11" t="str">
        <f t="shared" si="19"/>
        <v/>
      </c>
      <c r="AU90" s="11" t="str">
        <f t="shared" si="19"/>
        <v/>
      </c>
      <c r="AV90" s="11" t="str">
        <f t="shared" si="19"/>
        <v/>
      </c>
      <c r="AW90" s="11" t="str">
        <f t="shared" si="19"/>
        <v/>
      </c>
      <c r="AX90" s="11" t="str">
        <f t="shared" si="19"/>
        <v/>
      </c>
      <c r="AY90" s="11" t="str">
        <f t="shared" si="19"/>
        <v/>
      </c>
      <c r="AZ90" s="11" t="str">
        <f t="shared" si="19"/>
        <v/>
      </c>
      <c r="BA90" s="11" t="str">
        <f t="shared" si="19"/>
        <v/>
      </c>
      <c r="BB90" s="11" t="str">
        <f t="shared" si="19"/>
        <v/>
      </c>
      <c r="BC90" s="11" t="str">
        <f t="shared" si="19"/>
        <v/>
      </c>
      <c r="BD90" s="11" t="str">
        <f t="shared" si="19"/>
        <v/>
      </c>
      <c r="BE90" s="11" t="str">
        <f t="shared" si="19"/>
        <v/>
      </c>
      <c r="BF90" s="11" t="str">
        <f t="shared" si="20"/>
        <v xml:space="preserve">   </v>
      </c>
      <c r="BG90" s="11" t="str">
        <f t="shared" si="20"/>
        <v xml:space="preserve">   </v>
      </c>
      <c r="BH90" s="11" t="str">
        <f t="shared" si="20"/>
        <v>Membership rewards</v>
      </c>
      <c r="BI90" s="11" t="str">
        <f t="shared" si="20"/>
        <v xml:space="preserve">   </v>
      </c>
      <c r="BJ90" s="11" t="str">
        <f t="shared" si="20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'[3]FY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5"/>
        <v>66671.591</v>
      </c>
      <c r="T91" s="68"/>
      <c r="U91" s="68"/>
      <c r="V91" s="68">
        <f t="shared" si="17"/>
        <v>61115.625083333332</v>
      </c>
      <c r="W91" s="68">
        <f t="shared" si="18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0"/>
        <v xml:space="preserve">     $66,672</v>
      </c>
      <c r="AT91" s="11" t="str">
        <f t="shared" si="19"/>
        <v xml:space="preserve">      $5,556</v>
      </c>
      <c r="AU91" s="11" t="str">
        <f t="shared" si="19"/>
        <v xml:space="preserve">      $5,556</v>
      </c>
      <c r="AV91" s="11" t="str">
        <f t="shared" si="19"/>
        <v xml:space="preserve">      $5,556</v>
      </c>
      <c r="AW91" s="11" t="str">
        <f t="shared" si="19"/>
        <v xml:space="preserve">      $5,556</v>
      </c>
      <c r="AX91" s="11" t="str">
        <f t="shared" si="19"/>
        <v xml:space="preserve">      $5,556</v>
      </c>
      <c r="AY91" s="11" t="str">
        <f t="shared" si="19"/>
        <v xml:space="preserve">      $5,556</v>
      </c>
      <c r="AZ91" s="11" t="str">
        <f t="shared" si="19"/>
        <v xml:space="preserve">      $5,556</v>
      </c>
      <c r="BA91" s="11" t="str">
        <f t="shared" si="19"/>
        <v xml:space="preserve">      $5,556</v>
      </c>
      <c r="BB91" s="11" t="str">
        <f t="shared" si="19"/>
        <v xml:space="preserve">      $5,556</v>
      </c>
      <c r="BC91" s="11" t="str">
        <f t="shared" si="19"/>
        <v xml:space="preserve">      $5,556</v>
      </c>
      <c r="BD91" s="11" t="str">
        <f t="shared" si="19"/>
        <v xml:space="preserve">      $5,556</v>
      </c>
      <c r="BE91" s="11" t="str">
        <f t="shared" si="19"/>
        <v xml:space="preserve">      $5,556</v>
      </c>
      <c r="BF91" s="11" t="str">
        <f t="shared" si="20"/>
        <v xml:space="preserve">   </v>
      </c>
      <c r="BG91" s="11" t="str">
        <f t="shared" si="20"/>
        <v xml:space="preserve">   </v>
      </c>
      <c r="BH91" s="11" t="str">
        <f t="shared" si="20"/>
        <v>Staff salary</v>
      </c>
      <c r="BI91" s="11" t="str">
        <f t="shared" si="20"/>
        <v xml:space="preserve">   </v>
      </c>
      <c r="BJ91" s="11" t="str">
        <f t="shared" si="20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5"/>
        <v>0</v>
      </c>
      <c r="T92" s="68"/>
      <c r="U92" s="68"/>
      <c r="V92" s="68">
        <f t="shared" si="17"/>
        <v>0</v>
      </c>
      <c r="W92" s="68">
        <f t="shared" si="18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0"/>
        <v/>
      </c>
      <c r="AT92" s="11" t="str">
        <f t="shared" si="19"/>
        <v/>
      </c>
      <c r="AU92" s="11" t="str">
        <f t="shared" si="19"/>
        <v/>
      </c>
      <c r="AV92" s="11" t="str">
        <f t="shared" si="19"/>
        <v/>
      </c>
      <c r="AW92" s="11" t="str">
        <f t="shared" si="19"/>
        <v/>
      </c>
      <c r="AX92" s="11" t="str">
        <f t="shared" si="19"/>
        <v/>
      </c>
      <c r="AY92" s="11" t="str">
        <f t="shared" si="19"/>
        <v/>
      </c>
      <c r="AZ92" s="11" t="str">
        <f t="shared" si="19"/>
        <v/>
      </c>
      <c r="BA92" s="11" t="str">
        <f t="shared" si="19"/>
        <v/>
      </c>
      <c r="BB92" s="11" t="str">
        <f t="shared" si="19"/>
        <v/>
      </c>
      <c r="BC92" s="11" t="str">
        <f t="shared" si="19"/>
        <v/>
      </c>
      <c r="BD92" s="11" t="str">
        <f t="shared" si="19"/>
        <v/>
      </c>
      <c r="BE92" s="11" t="str">
        <f t="shared" si="19"/>
        <v/>
      </c>
      <c r="BF92" s="11" t="str">
        <f t="shared" si="20"/>
        <v xml:space="preserve">   </v>
      </c>
      <c r="BG92" s="11" t="str">
        <f t="shared" si="20"/>
        <v xml:space="preserve">   </v>
      </c>
      <c r="BH92" s="11" t="str">
        <f t="shared" si="20"/>
        <v>Local Events</v>
      </c>
      <c r="BI92" s="11" t="str">
        <f t="shared" si="20"/>
        <v xml:space="preserve">   </v>
      </c>
      <c r="BJ92" s="11" t="str">
        <f t="shared" si="20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'[3]FY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5"/>
        <v>40000</v>
      </c>
      <c r="T93" s="68"/>
      <c r="U93" s="68"/>
      <c r="V93" s="68">
        <f t="shared" si="17"/>
        <v>30000</v>
      </c>
      <c r="W93" s="68">
        <f t="shared" si="18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0"/>
        <v xml:space="preserve">     $40,000</v>
      </c>
      <c r="AT93" s="11" t="str">
        <f t="shared" ref="AT93:BE97" si="21">IF(ISBLANK(G93),"",RIGHT(REPT(" ",15)&amp;TEXT(G93,"$#,##0"),12))</f>
        <v/>
      </c>
      <c r="AU93" s="11" t="str">
        <f t="shared" si="21"/>
        <v/>
      </c>
      <c r="AV93" s="11" t="str">
        <f t="shared" si="21"/>
        <v xml:space="preserve">     $10,000</v>
      </c>
      <c r="AW93" s="11" t="str">
        <f t="shared" si="21"/>
        <v/>
      </c>
      <c r="AX93" s="11" t="str">
        <f t="shared" si="21"/>
        <v/>
      </c>
      <c r="AY93" s="11" t="str">
        <f t="shared" si="21"/>
        <v xml:space="preserve">     $10,000</v>
      </c>
      <c r="AZ93" s="11" t="str">
        <f t="shared" si="21"/>
        <v/>
      </c>
      <c r="BA93" s="11" t="str">
        <f t="shared" si="21"/>
        <v/>
      </c>
      <c r="BB93" s="11" t="str">
        <f t="shared" si="21"/>
        <v xml:space="preserve">     $10,000</v>
      </c>
      <c r="BC93" s="11" t="str">
        <f t="shared" si="21"/>
        <v/>
      </c>
      <c r="BD93" s="11" t="str">
        <f t="shared" si="21"/>
        <v/>
      </c>
      <c r="BE93" s="11" t="str">
        <f t="shared" si="21"/>
        <v xml:space="preserve">     $10,000</v>
      </c>
      <c r="BF93" s="11" t="str">
        <f t="shared" ref="BF93:BJ97" si="22">IF(ISBLANK(A93),"   ",A93)</f>
        <v xml:space="preserve">   </v>
      </c>
      <c r="BG93" s="11" t="str">
        <f t="shared" si="22"/>
        <v xml:space="preserve">   </v>
      </c>
      <c r="BH93" s="11" t="str">
        <f t="shared" si="22"/>
        <v>Chapter Platform Fees</v>
      </c>
      <c r="BI93" s="11" t="str">
        <f t="shared" si="22"/>
        <v xml:space="preserve">   </v>
      </c>
      <c r="BJ93" s="11" t="str">
        <f t="shared" si="22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5"/>
        <v>0</v>
      </c>
      <c r="T94" s="68"/>
      <c r="U94" s="68"/>
      <c r="V94" s="68">
        <f t="shared" si="17"/>
        <v>0</v>
      </c>
      <c r="W94" s="68">
        <f t="shared" si="18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0"/>
        <v/>
      </c>
      <c r="AT94" s="11" t="str">
        <f t="shared" si="21"/>
        <v/>
      </c>
      <c r="AU94" s="11" t="str">
        <f t="shared" si="21"/>
        <v/>
      </c>
      <c r="AV94" s="11" t="str">
        <f t="shared" si="21"/>
        <v/>
      </c>
      <c r="AW94" s="11" t="str">
        <f t="shared" si="21"/>
        <v/>
      </c>
      <c r="AX94" s="11" t="str">
        <f t="shared" si="21"/>
        <v/>
      </c>
      <c r="AY94" s="11" t="str">
        <f t="shared" si="21"/>
        <v/>
      </c>
      <c r="AZ94" s="11" t="str">
        <f t="shared" si="21"/>
        <v/>
      </c>
      <c r="BA94" s="11" t="str">
        <f t="shared" si="21"/>
        <v/>
      </c>
      <c r="BB94" s="11" t="str">
        <f t="shared" si="21"/>
        <v/>
      </c>
      <c r="BC94" s="11" t="str">
        <f t="shared" si="21"/>
        <v/>
      </c>
      <c r="BD94" s="11" t="str">
        <f t="shared" si="21"/>
        <v/>
      </c>
      <c r="BE94" s="11" t="str">
        <f t="shared" si="21"/>
        <v/>
      </c>
      <c r="BF94" s="11" t="str">
        <f t="shared" si="22"/>
        <v xml:space="preserve">   </v>
      </c>
      <c r="BG94" s="11" t="str">
        <f t="shared" si="22"/>
        <v xml:space="preserve">   </v>
      </c>
      <c r="BH94" s="11" t="str">
        <f t="shared" si="22"/>
        <v xml:space="preserve">   </v>
      </c>
      <c r="BI94" s="11" t="str">
        <f t="shared" si="22"/>
        <v xml:space="preserve">   </v>
      </c>
      <c r="BJ94" s="11" t="str">
        <f t="shared" si="22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5"/>
        <v>0</v>
      </c>
      <c r="T95" s="68"/>
      <c r="U95" s="68"/>
      <c r="V95" s="68">
        <f t="shared" si="17"/>
        <v>0</v>
      </c>
      <c r="W95" s="68">
        <f t="shared" si="18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0"/>
        <v/>
      </c>
      <c r="AT95" s="11" t="str">
        <f t="shared" si="21"/>
        <v/>
      </c>
      <c r="AU95" s="11" t="str">
        <f t="shared" si="21"/>
        <v/>
      </c>
      <c r="AV95" s="11" t="str">
        <f t="shared" si="21"/>
        <v/>
      </c>
      <c r="AW95" s="11" t="str">
        <f t="shared" si="21"/>
        <v/>
      </c>
      <c r="AX95" s="11" t="str">
        <f t="shared" si="21"/>
        <v/>
      </c>
      <c r="AY95" s="11" t="str">
        <f t="shared" si="21"/>
        <v/>
      </c>
      <c r="AZ95" s="11" t="str">
        <f t="shared" si="21"/>
        <v/>
      </c>
      <c r="BA95" s="11" t="str">
        <f t="shared" si="21"/>
        <v/>
      </c>
      <c r="BB95" s="11" t="str">
        <f t="shared" si="21"/>
        <v/>
      </c>
      <c r="BC95" s="11" t="str">
        <f t="shared" si="21"/>
        <v/>
      </c>
      <c r="BD95" s="11" t="str">
        <f t="shared" si="21"/>
        <v/>
      </c>
      <c r="BE95" s="11" t="str">
        <f t="shared" si="21"/>
        <v/>
      </c>
      <c r="BF95" s="11" t="str">
        <f t="shared" si="22"/>
        <v xml:space="preserve">   </v>
      </c>
      <c r="BG95" s="11" t="str">
        <f t="shared" si="22"/>
        <v>WIA, Diversity and Inclusion</v>
      </c>
      <c r="BH95" s="11" t="str">
        <f t="shared" si="22"/>
        <v xml:space="preserve">   </v>
      </c>
      <c r="BI95" s="11" t="str">
        <f t="shared" si="22"/>
        <v xml:space="preserve">   </v>
      </c>
      <c r="BJ95" s="11" t="str">
        <f t="shared" si="22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5"/>
        <v>0</v>
      </c>
      <c r="T96" s="68"/>
      <c r="U96" s="68"/>
      <c r="V96" s="68">
        <f t="shared" si="17"/>
        <v>0</v>
      </c>
      <c r="W96" s="68">
        <f t="shared" si="18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0"/>
        <v/>
      </c>
      <c r="AT96" s="11" t="str">
        <f t="shared" si="21"/>
        <v/>
      </c>
      <c r="AU96" s="11" t="str">
        <f t="shared" si="21"/>
        <v/>
      </c>
      <c r="AV96" s="11" t="str">
        <f t="shared" si="21"/>
        <v/>
      </c>
      <c r="AW96" s="11" t="str">
        <f t="shared" si="21"/>
        <v/>
      </c>
      <c r="AX96" s="11" t="str">
        <f t="shared" si="21"/>
        <v/>
      </c>
      <c r="AY96" s="11" t="str">
        <f t="shared" si="21"/>
        <v/>
      </c>
      <c r="AZ96" s="11" t="str">
        <f t="shared" si="21"/>
        <v/>
      </c>
      <c r="BA96" s="11" t="str">
        <f t="shared" si="21"/>
        <v/>
      </c>
      <c r="BB96" s="11" t="str">
        <f t="shared" si="21"/>
        <v/>
      </c>
      <c r="BC96" s="11" t="str">
        <f t="shared" si="21"/>
        <v/>
      </c>
      <c r="BD96" s="11" t="str">
        <f t="shared" si="21"/>
        <v/>
      </c>
      <c r="BE96" s="11" t="str">
        <f t="shared" si="21"/>
        <v/>
      </c>
      <c r="BF96" s="11" t="str">
        <f t="shared" si="22"/>
        <v xml:space="preserve">   </v>
      </c>
      <c r="BG96" s="11" t="str">
        <f t="shared" si="22"/>
        <v xml:space="preserve">   </v>
      </c>
      <c r="BH96" s="11" t="str">
        <f t="shared" si="22"/>
        <v>Grants</v>
      </c>
      <c r="BI96" s="11" t="str">
        <f t="shared" si="22"/>
        <v xml:space="preserve">   </v>
      </c>
      <c r="BJ96" s="11" t="str">
        <f t="shared" si="22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5"/>
        <v>0</v>
      </c>
      <c r="T97" s="68"/>
      <c r="U97" s="68"/>
      <c r="V97" s="68">
        <f t="shared" si="17"/>
        <v>0</v>
      </c>
      <c r="W97" s="68">
        <f t="shared" si="18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0"/>
        <v/>
      </c>
      <c r="AT97" s="11" t="str">
        <f t="shared" si="21"/>
        <v/>
      </c>
      <c r="AU97" s="11" t="str">
        <f t="shared" si="21"/>
        <v/>
      </c>
      <c r="AV97" s="11" t="str">
        <f t="shared" si="21"/>
        <v/>
      </c>
      <c r="AW97" s="11" t="str">
        <f t="shared" si="21"/>
        <v/>
      </c>
      <c r="AX97" s="11" t="str">
        <f t="shared" si="21"/>
        <v/>
      </c>
      <c r="AY97" s="11" t="str">
        <f t="shared" si="21"/>
        <v/>
      </c>
      <c r="AZ97" s="11" t="str">
        <f t="shared" si="21"/>
        <v/>
      </c>
      <c r="BA97" s="11" t="str">
        <f t="shared" si="21"/>
        <v/>
      </c>
      <c r="BB97" s="11" t="str">
        <f t="shared" si="21"/>
        <v/>
      </c>
      <c r="BC97" s="11" t="str">
        <f t="shared" si="21"/>
        <v/>
      </c>
      <c r="BD97" s="11" t="str">
        <f t="shared" si="21"/>
        <v/>
      </c>
      <c r="BE97" s="11" t="str">
        <f t="shared" si="21"/>
        <v/>
      </c>
      <c r="BF97" s="11" t="str">
        <f t="shared" si="22"/>
        <v xml:space="preserve">   </v>
      </c>
      <c r="BG97" s="11" t="str">
        <f t="shared" si="22"/>
        <v xml:space="preserve">   </v>
      </c>
      <c r="BH97" s="11" t="str">
        <f t="shared" si="22"/>
        <v>Expenses</v>
      </c>
      <c r="BI97" s="11" t="str">
        <f t="shared" si="22"/>
        <v xml:space="preserve">   </v>
      </c>
      <c r="BJ97" s="11" t="str">
        <f t="shared" si="22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5"/>
        <v>0</v>
      </c>
      <c r="T98" s="68"/>
      <c r="U98" s="68"/>
      <c r="V98" s="68">
        <f t="shared" si="17"/>
        <v>0</v>
      </c>
      <c r="W98" s="68">
        <f t="shared" si="18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5"/>
        <v>0</v>
      </c>
      <c r="T99" s="68"/>
      <c r="U99" s="68"/>
      <c r="V99" s="68">
        <f t="shared" si="17"/>
        <v>0</v>
      </c>
      <c r="W99" s="68">
        <f t="shared" si="18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5"/>
        <v>0</v>
      </c>
      <c r="T100" s="68"/>
      <c r="U100" s="68"/>
      <c r="V100" s="68">
        <f t="shared" si="17"/>
        <v>0</v>
      </c>
      <c r="W100" s="68">
        <f t="shared" si="18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'[3]FY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5"/>
        <v>45663.237199999981</v>
      </c>
      <c r="T101" s="68"/>
      <c r="U101" s="68"/>
      <c r="V101" s="68">
        <f t="shared" si="17"/>
        <v>41857.967433333317</v>
      </c>
      <c r="W101" s="68">
        <f t="shared" si="18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3">SUM(G102:R102)</f>
        <v>0</v>
      </c>
      <c r="T102" s="68"/>
      <c r="U102" s="68"/>
      <c r="V102" s="68">
        <f t="shared" si="17"/>
        <v>0</v>
      </c>
      <c r="W102" s="68">
        <f t="shared" si="18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3"/>
        <v>0</v>
      </c>
      <c r="T103" s="68"/>
      <c r="U103" s="68"/>
      <c r="V103" s="68">
        <f t="shared" si="17"/>
        <v>0</v>
      </c>
      <c r="W103" s="68">
        <f t="shared" si="18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3"/>
        <v>0</v>
      </c>
      <c r="T104" s="68"/>
      <c r="U104" s="68"/>
      <c r="V104" s="68">
        <f t="shared" si="17"/>
        <v>0</v>
      </c>
      <c r="W104" s="68">
        <f t="shared" si="18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3"/>
        <v>0</v>
      </c>
      <c r="T105" s="68"/>
      <c r="U105" s="68"/>
      <c r="V105" s="68">
        <f t="shared" si="17"/>
        <v>0</v>
      </c>
      <c r="W105" s="68">
        <f t="shared" si="18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3"/>
        <v>0</v>
      </c>
      <c r="T106" s="68"/>
      <c r="U106" s="68"/>
      <c r="V106" s="68">
        <f t="shared" si="17"/>
        <v>0</v>
      </c>
      <c r="W106" s="68">
        <f t="shared" si="18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3"/>
        <v>0</v>
      </c>
      <c r="T107" s="68"/>
      <c r="U107" s="68"/>
      <c r="V107" s="68">
        <f t="shared" si="17"/>
        <v>0</v>
      </c>
      <c r="W107" s="68">
        <f t="shared" si="18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3"/>
        <v>0</v>
      </c>
      <c r="T108" s="68"/>
      <c r="U108" s="68"/>
      <c r="V108" s="68">
        <f t="shared" si="17"/>
        <v>0</v>
      </c>
      <c r="W108" s="68">
        <f t="shared" si="18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3"/>
        <v>0</v>
      </c>
      <c r="T109" s="68"/>
      <c r="U109" s="68"/>
      <c r="V109" s="68">
        <f t="shared" si="17"/>
        <v>0</v>
      </c>
      <c r="W109" s="68">
        <f t="shared" si="18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3"/>
        <v>0</v>
      </c>
      <c r="T110" s="68"/>
      <c r="U110" s="68"/>
      <c r="V110" s="68">
        <f t="shared" si="17"/>
        <v>0</v>
      </c>
      <c r="W110" s="68">
        <f t="shared" si="18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'[3]FY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3"/>
        <v>55503.445200000009</v>
      </c>
      <c r="T111" s="68"/>
      <c r="U111" s="68"/>
      <c r="V111" s="68">
        <f t="shared" si="17"/>
        <v>50878.158100000008</v>
      </c>
      <c r="W111" s="68">
        <f t="shared" si="18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3"/>
        <v>0</v>
      </c>
      <c r="T112" s="68"/>
      <c r="U112" s="68"/>
      <c r="V112" s="68">
        <f t="shared" si="17"/>
        <v>0</v>
      </c>
      <c r="W112" s="68">
        <f t="shared" si="18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3"/>
        <v>0</v>
      </c>
      <c r="T113" s="68"/>
      <c r="U113" s="68"/>
      <c r="V113" s="68">
        <f t="shared" si="17"/>
        <v>0</v>
      </c>
      <c r="W113" s="68">
        <f t="shared" si="18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3"/>
        <v>0</v>
      </c>
      <c r="T114" s="68"/>
      <c r="U114" s="68"/>
      <c r="V114" s="68">
        <f t="shared" si="17"/>
        <v>0</v>
      </c>
      <c r="W114" s="68">
        <f t="shared" si="18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3"/>
        <v>0</v>
      </c>
      <c r="T115" s="68"/>
      <c r="U115" s="68"/>
      <c r="V115" s="68">
        <f t="shared" si="17"/>
        <v>0</v>
      </c>
      <c r="W115" s="68">
        <f t="shared" si="18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'[3]FY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3"/>
        <v>25000</v>
      </c>
      <c r="T116" s="68"/>
      <c r="U116" s="68"/>
      <c r="V116" s="68">
        <f t="shared" si="17"/>
        <v>25000</v>
      </c>
      <c r="W116" s="68">
        <f t="shared" si="18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0"/>
        <v xml:space="preserve">     $25,000</v>
      </c>
      <c r="AT116" s="11" t="str">
        <f t="shared" ref="AT116:BE133" si="24">IF(ISBLANK(G116),"",RIGHT(REPT(" ",15)&amp;TEXT(G116,"$#,##0"),12))</f>
        <v/>
      </c>
      <c r="AU116" s="11" t="str">
        <f t="shared" si="24"/>
        <v/>
      </c>
      <c r="AV116" s="11" t="str">
        <f t="shared" si="24"/>
        <v/>
      </c>
      <c r="AW116" s="11" t="str">
        <f t="shared" si="24"/>
        <v/>
      </c>
      <c r="AX116" s="11" t="str">
        <f t="shared" si="24"/>
        <v/>
      </c>
      <c r="AY116" s="11" t="str">
        <f t="shared" si="24"/>
        <v xml:space="preserve">     $12,500</v>
      </c>
      <c r="AZ116" s="11" t="str">
        <f t="shared" si="24"/>
        <v/>
      </c>
      <c r="BA116" s="11" t="str">
        <f t="shared" si="24"/>
        <v/>
      </c>
      <c r="BB116" s="11" t="str">
        <f t="shared" si="24"/>
        <v/>
      </c>
      <c r="BC116" s="11" t="str">
        <f t="shared" si="24"/>
        <v xml:space="preserve">     $12,500</v>
      </c>
      <c r="BD116" s="11" t="str">
        <f t="shared" si="24"/>
        <v/>
      </c>
      <c r="BE116" s="11" t="str">
        <f t="shared" si="24"/>
        <v/>
      </c>
      <c r="BF116" s="11" t="str">
        <f t="shared" ref="BF116:BJ133" si="25">IF(ISBLANK(A116),"   ",A116)</f>
        <v xml:space="preserve">   </v>
      </c>
      <c r="BG116" s="11" t="str">
        <f t="shared" si="25"/>
        <v xml:space="preserve">   </v>
      </c>
      <c r="BH116" s="11" t="str">
        <f t="shared" si="25"/>
        <v xml:space="preserve">   </v>
      </c>
      <c r="BI116" s="11" t="str">
        <f t="shared" si="25"/>
        <v>Board F2F Meetings (2x/yr)</v>
      </c>
      <c r="BJ116" s="11" t="str">
        <f t="shared" si="25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3"/>
        <v>0</v>
      </c>
      <c r="T117" s="68"/>
      <c r="U117" s="68"/>
      <c r="V117" s="68">
        <f t="shared" si="17"/>
        <v>0</v>
      </c>
      <c r="W117" s="68">
        <f t="shared" si="18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0"/>
        <v/>
      </c>
      <c r="AT117" s="11" t="str">
        <f t="shared" si="24"/>
        <v/>
      </c>
      <c r="AU117" s="11" t="str">
        <f t="shared" si="24"/>
        <v/>
      </c>
      <c r="AV117" s="11" t="str">
        <f t="shared" si="24"/>
        <v/>
      </c>
      <c r="AW117" s="11" t="str">
        <f t="shared" si="24"/>
        <v/>
      </c>
      <c r="AX117" s="11" t="str">
        <f t="shared" si="24"/>
        <v/>
      </c>
      <c r="AY117" s="11" t="str">
        <f t="shared" si="24"/>
        <v/>
      </c>
      <c r="AZ117" s="11" t="str">
        <f t="shared" si="24"/>
        <v/>
      </c>
      <c r="BA117" s="11" t="str">
        <f t="shared" si="24"/>
        <v/>
      </c>
      <c r="BB117" s="11" t="str">
        <f t="shared" si="24"/>
        <v/>
      </c>
      <c r="BC117" s="11" t="str">
        <f t="shared" si="24"/>
        <v/>
      </c>
      <c r="BD117" s="11" t="str">
        <f t="shared" si="24"/>
        <v/>
      </c>
      <c r="BE117" s="11" t="str">
        <f t="shared" si="24"/>
        <v/>
      </c>
      <c r="BF117" s="11" t="str">
        <f t="shared" si="25"/>
        <v xml:space="preserve">   </v>
      </c>
      <c r="BG117" s="11" t="str">
        <f t="shared" si="25"/>
        <v xml:space="preserve">   </v>
      </c>
      <c r="BH117" s="11" t="str">
        <f t="shared" si="25"/>
        <v xml:space="preserve">   </v>
      </c>
      <c r="BI117" s="11" t="str">
        <f t="shared" si="25"/>
        <v>Projects Summit Travel Assistance</v>
      </c>
      <c r="BJ117" s="11" t="str">
        <f t="shared" si="25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3"/>
        <v>0</v>
      </c>
      <c r="T118" s="68"/>
      <c r="U118" s="68"/>
      <c r="V118" s="68">
        <f t="shared" si="17"/>
        <v>0</v>
      </c>
      <c r="W118" s="68">
        <f t="shared" si="18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0"/>
        <v/>
      </c>
      <c r="AT118" s="11" t="str">
        <f t="shared" si="24"/>
        <v/>
      </c>
      <c r="AU118" s="11" t="str">
        <f t="shared" si="24"/>
        <v/>
      </c>
      <c r="AV118" s="11" t="str">
        <f t="shared" si="24"/>
        <v/>
      </c>
      <c r="AW118" s="11" t="str">
        <f t="shared" si="24"/>
        <v/>
      </c>
      <c r="AX118" s="11" t="str">
        <f t="shared" si="24"/>
        <v/>
      </c>
      <c r="AY118" s="11" t="str">
        <f t="shared" si="24"/>
        <v/>
      </c>
      <c r="AZ118" s="11" t="str">
        <f t="shared" si="24"/>
        <v/>
      </c>
      <c r="BA118" s="11" t="str">
        <f t="shared" si="24"/>
        <v/>
      </c>
      <c r="BB118" s="11" t="str">
        <f t="shared" si="24"/>
        <v/>
      </c>
      <c r="BC118" s="11" t="str">
        <f t="shared" si="24"/>
        <v/>
      </c>
      <c r="BD118" s="11" t="str">
        <f t="shared" si="24"/>
        <v/>
      </c>
      <c r="BE118" s="11" t="str">
        <f t="shared" si="24"/>
        <v/>
      </c>
      <c r="BF118" s="11" t="str">
        <f t="shared" si="25"/>
        <v xml:space="preserve">   </v>
      </c>
      <c r="BG118" s="11" t="str">
        <f t="shared" si="25"/>
        <v xml:space="preserve">   </v>
      </c>
      <c r="BH118" s="11" t="str">
        <f t="shared" si="25"/>
        <v xml:space="preserve">   </v>
      </c>
      <c r="BI118" s="11" t="str">
        <f t="shared" si="25"/>
        <v>General Travel Assistance</v>
      </c>
      <c r="BJ118" s="11" t="str">
        <f t="shared" si="25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'[3]FY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3"/>
        <v>10000</v>
      </c>
      <c r="T119" s="68"/>
      <c r="U119" s="68"/>
      <c r="V119" s="68">
        <f t="shared" si="17"/>
        <v>10000</v>
      </c>
      <c r="W119" s="68">
        <f t="shared" si="18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0"/>
        <v xml:space="preserve">     $10,000</v>
      </c>
      <c r="AT119" s="11" t="str">
        <f t="shared" si="24"/>
        <v/>
      </c>
      <c r="AU119" s="11" t="str">
        <f t="shared" si="24"/>
        <v/>
      </c>
      <c r="AV119" s="11" t="str">
        <f t="shared" si="24"/>
        <v/>
      </c>
      <c r="AW119" s="11" t="str">
        <f t="shared" si="24"/>
        <v/>
      </c>
      <c r="AX119" s="11" t="str">
        <f t="shared" si="24"/>
        <v/>
      </c>
      <c r="AY119" s="11" t="str">
        <f t="shared" si="24"/>
        <v xml:space="preserve">      $5,000</v>
      </c>
      <c r="AZ119" s="11" t="str">
        <f t="shared" si="24"/>
        <v/>
      </c>
      <c r="BA119" s="11" t="str">
        <f t="shared" si="24"/>
        <v/>
      </c>
      <c r="BB119" s="11" t="str">
        <f t="shared" si="24"/>
        <v/>
      </c>
      <c r="BC119" s="11" t="str">
        <f t="shared" si="24"/>
        <v xml:space="preserve">      $5,000</v>
      </c>
      <c r="BD119" s="11" t="str">
        <f t="shared" si="24"/>
        <v/>
      </c>
      <c r="BE119" s="11" t="str">
        <f t="shared" si="24"/>
        <v/>
      </c>
      <c r="BF119" s="11" t="str">
        <f t="shared" si="25"/>
        <v xml:space="preserve">   </v>
      </c>
      <c r="BG119" s="11" t="str">
        <f t="shared" si="25"/>
        <v xml:space="preserve">   </v>
      </c>
      <c r="BH119" s="11" t="str">
        <f t="shared" si="25"/>
        <v xml:space="preserve">   </v>
      </c>
      <c r="BI119" s="11" t="str">
        <f t="shared" si="25"/>
        <v>Staff</v>
      </c>
      <c r="BJ119" s="11" t="str">
        <f t="shared" si="25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'[3]FY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3"/>
        <v>20000</v>
      </c>
      <c r="T120" s="68"/>
      <c r="U120" s="68"/>
      <c r="V120" s="68">
        <f t="shared" si="17"/>
        <v>19000</v>
      </c>
      <c r="W120" s="68">
        <f t="shared" si="18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0"/>
        <v xml:space="preserve">     $20,000</v>
      </c>
      <c r="AT120" s="11" t="str">
        <f t="shared" si="24"/>
        <v xml:space="preserve">      $1,000</v>
      </c>
      <c r="AU120" s="11" t="str">
        <f t="shared" si="24"/>
        <v xml:space="preserve">      $1,000</v>
      </c>
      <c r="AV120" s="11" t="str">
        <f t="shared" si="24"/>
        <v xml:space="preserve">      $1,000</v>
      </c>
      <c r="AW120" s="11" t="str">
        <f t="shared" si="24"/>
        <v xml:space="preserve">      $9,000</v>
      </c>
      <c r="AX120" s="11" t="str">
        <f t="shared" si="24"/>
        <v xml:space="preserve">      $1,000</v>
      </c>
      <c r="AY120" s="11" t="str">
        <f t="shared" si="24"/>
        <v xml:space="preserve">      $1,000</v>
      </c>
      <c r="AZ120" s="11" t="str">
        <f t="shared" si="24"/>
        <v xml:space="preserve">      $1,000</v>
      </c>
      <c r="BA120" s="11" t="str">
        <f t="shared" si="24"/>
        <v xml:space="preserve">      $1,000</v>
      </c>
      <c r="BB120" s="11" t="str">
        <f t="shared" si="24"/>
        <v xml:space="preserve">      $1,000</v>
      </c>
      <c r="BC120" s="11" t="str">
        <f t="shared" si="24"/>
        <v xml:space="preserve">      $1,000</v>
      </c>
      <c r="BD120" s="11" t="str">
        <f t="shared" si="24"/>
        <v xml:space="preserve">      $1,000</v>
      </c>
      <c r="BE120" s="11" t="str">
        <f t="shared" si="24"/>
        <v xml:space="preserve">      $1,000</v>
      </c>
      <c r="BF120" s="11" t="str">
        <f t="shared" si="25"/>
        <v xml:space="preserve">   </v>
      </c>
      <c r="BG120" s="11" t="str">
        <f t="shared" si="25"/>
        <v>Legal &amp; Insurance</v>
      </c>
      <c r="BH120" s="11" t="str">
        <f t="shared" si="25"/>
        <v xml:space="preserve">   </v>
      </c>
      <c r="BI120" s="11" t="str">
        <f t="shared" si="25"/>
        <v xml:space="preserve">   </v>
      </c>
      <c r="BJ120" s="11" t="str">
        <f t="shared" si="25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3"/>
        <v>0</v>
      </c>
      <c r="T121" s="68"/>
      <c r="U121" s="68"/>
      <c r="V121" s="68">
        <f t="shared" si="17"/>
        <v>0</v>
      </c>
      <c r="W121" s="68">
        <f t="shared" si="18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0"/>
        <v/>
      </c>
      <c r="AT121" s="11" t="str">
        <f t="shared" si="24"/>
        <v/>
      </c>
      <c r="AU121" s="11" t="str">
        <f t="shared" si="24"/>
        <v/>
      </c>
      <c r="AV121" s="11" t="str">
        <f t="shared" si="24"/>
        <v/>
      </c>
      <c r="AW121" s="11" t="str">
        <f t="shared" si="24"/>
        <v/>
      </c>
      <c r="AX121" s="11" t="str">
        <f t="shared" si="24"/>
        <v/>
      </c>
      <c r="AY121" s="11" t="str">
        <f t="shared" si="24"/>
        <v/>
      </c>
      <c r="AZ121" s="11" t="str">
        <f t="shared" si="24"/>
        <v/>
      </c>
      <c r="BA121" s="11" t="str">
        <f t="shared" si="24"/>
        <v/>
      </c>
      <c r="BB121" s="11" t="str">
        <f t="shared" si="24"/>
        <v/>
      </c>
      <c r="BC121" s="11" t="str">
        <f t="shared" si="24"/>
        <v/>
      </c>
      <c r="BD121" s="11" t="str">
        <f t="shared" si="24"/>
        <v/>
      </c>
      <c r="BE121" s="11" t="str">
        <f t="shared" si="24"/>
        <v/>
      </c>
      <c r="BF121" s="11" t="str">
        <f t="shared" si="25"/>
        <v xml:space="preserve">   </v>
      </c>
      <c r="BG121" s="11" t="str">
        <f t="shared" si="25"/>
        <v xml:space="preserve">   </v>
      </c>
      <c r="BH121" s="11" t="str">
        <f t="shared" si="25"/>
        <v>Trade Mark fees</v>
      </c>
      <c r="BI121" s="11" t="str">
        <f t="shared" si="25"/>
        <v xml:space="preserve">   </v>
      </c>
      <c r="BJ121" s="11" t="str">
        <f t="shared" si="25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3"/>
        <v>0</v>
      </c>
      <c r="T122" s="68"/>
      <c r="U122" s="68"/>
      <c r="V122" s="68">
        <f t="shared" si="17"/>
        <v>0</v>
      </c>
      <c r="W122" s="68">
        <f t="shared" si="18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0"/>
        <v/>
      </c>
      <c r="AT122" s="11" t="str">
        <f t="shared" si="24"/>
        <v/>
      </c>
      <c r="AU122" s="11" t="str">
        <f t="shared" si="24"/>
        <v/>
      </c>
      <c r="AV122" s="11" t="str">
        <f t="shared" si="24"/>
        <v/>
      </c>
      <c r="AW122" s="11" t="str">
        <f t="shared" si="24"/>
        <v/>
      </c>
      <c r="AX122" s="11" t="str">
        <f t="shared" si="24"/>
        <v/>
      </c>
      <c r="AY122" s="11" t="str">
        <f t="shared" si="24"/>
        <v/>
      </c>
      <c r="AZ122" s="11" t="str">
        <f t="shared" si="24"/>
        <v/>
      </c>
      <c r="BA122" s="11" t="str">
        <f t="shared" si="24"/>
        <v/>
      </c>
      <c r="BB122" s="11" t="str">
        <f t="shared" si="24"/>
        <v/>
      </c>
      <c r="BC122" s="11" t="str">
        <f t="shared" si="24"/>
        <v/>
      </c>
      <c r="BD122" s="11" t="str">
        <f t="shared" si="24"/>
        <v/>
      </c>
      <c r="BE122" s="11" t="str">
        <f t="shared" si="24"/>
        <v/>
      </c>
      <c r="BF122" s="11" t="str">
        <f t="shared" si="25"/>
        <v xml:space="preserve">   </v>
      </c>
      <c r="BG122" s="11" t="str">
        <f t="shared" si="25"/>
        <v>Staffing</v>
      </c>
      <c r="BH122" s="11" t="str">
        <f t="shared" si="25"/>
        <v xml:space="preserve">   </v>
      </c>
      <c r="BI122" s="11" t="str">
        <f t="shared" si="25"/>
        <v xml:space="preserve">   </v>
      </c>
      <c r="BJ122" s="11" t="str">
        <f t="shared" si="25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'[3]FY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3"/>
        <v>136735.26019999999</v>
      </c>
      <c r="T123" s="68"/>
      <c r="U123" s="68"/>
      <c r="V123" s="68">
        <f t="shared" si="17"/>
        <v>125340.65518333334</v>
      </c>
      <c r="W123" s="68">
        <f t="shared" si="18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0"/>
        <v xml:space="preserve">    $136,735</v>
      </c>
      <c r="AT123" s="11" t="str">
        <f t="shared" si="24"/>
        <v xml:space="preserve">     $11,395</v>
      </c>
      <c r="AU123" s="11" t="str">
        <f t="shared" si="24"/>
        <v xml:space="preserve">     $11,395</v>
      </c>
      <c r="AV123" s="11" t="str">
        <f t="shared" si="24"/>
        <v xml:space="preserve">     $11,395</v>
      </c>
      <c r="AW123" s="11" t="str">
        <f t="shared" si="24"/>
        <v xml:space="preserve">     $11,395</v>
      </c>
      <c r="AX123" s="11" t="str">
        <f t="shared" si="24"/>
        <v xml:space="preserve">     $11,395</v>
      </c>
      <c r="AY123" s="11" t="str">
        <f t="shared" si="24"/>
        <v xml:space="preserve">     $11,395</v>
      </c>
      <c r="AZ123" s="11" t="str">
        <f t="shared" si="24"/>
        <v xml:space="preserve">     $11,395</v>
      </c>
      <c r="BA123" s="11" t="str">
        <f t="shared" si="24"/>
        <v xml:space="preserve">     $11,395</v>
      </c>
      <c r="BB123" s="11" t="str">
        <f t="shared" si="24"/>
        <v xml:space="preserve">     $11,395</v>
      </c>
      <c r="BC123" s="11" t="str">
        <f t="shared" si="24"/>
        <v xml:space="preserve">     $11,395</v>
      </c>
      <c r="BD123" s="11" t="str">
        <f t="shared" si="24"/>
        <v xml:space="preserve">     $11,395</v>
      </c>
      <c r="BE123" s="11" t="str">
        <f t="shared" si="24"/>
        <v xml:space="preserve">     $11,395</v>
      </c>
      <c r="BF123" s="11" t="str">
        <f t="shared" si="25"/>
        <v xml:space="preserve">   </v>
      </c>
      <c r="BG123" s="11" t="str">
        <f t="shared" si="25"/>
        <v xml:space="preserve">   </v>
      </c>
      <c r="BH123" s="11" t="str">
        <f t="shared" si="25"/>
        <v xml:space="preserve">   </v>
      </c>
      <c r="BI123" s="11" t="str">
        <f t="shared" si="25"/>
        <v>General &amp; Administration</v>
      </c>
      <c r="BJ123" s="11" t="str">
        <f t="shared" si="25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'[3]FY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3"/>
        <v>69214.269599999985</v>
      </c>
      <c r="T124" s="68"/>
      <c r="U124" s="68"/>
      <c r="V124" s="68">
        <f t="shared" si="17"/>
        <v>63446.413799999988</v>
      </c>
      <c r="W124" s="68">
        <f t="shared" si="18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0"/>
        <v xml:space="preserve">     $69,214</v>
      </c>
      <c r="AT124" s="11" t="str">
        <f t="shared" si="24"/>
        <v xml:space="preserve">      $5,768</v>
      </c>
      <c r="AU124" s="11" t="str">
        <f t="shared" si="24"/>
        <v xml:space="preserve">      $5,768</v>
      </c>
      <c r="AV124" s="11" t="str">
        <f t="shared" si="24"/>
        <v xml:space="preserve">      $5,768</v>
      </c>
      <c r="AW124" s="11" t="str">
        <f t="shared" si="24"/>
        <v xml:space="preserve">      $5,768</v>
      </c>
      <c r="AX124" s="11" t="str">
        <f t="shared" si="24"/>
        <v xml:space="preserve">      $5,768</v>
      </c>
      <c r="AY124" s="11" t="str">
        <f t="shared" si="24"/>
        <v xml:space="preserve">      $5,768</v>
      </c>
      <c r="AZ124" s="11" t="str">
        <f t="shared" si="24"/>
        <v xml:space="preserve">      $5,768</v>
      </c>
      <c r="BA124" s="11" t="str">
        <f t="shared" si="24"/>
        <v xml:space="preserve">      $5,768</v>
      </c>
      <c r="BB124" s="11" t="str">
        <f t="shared" si="24"/>
        <v xml:space="preserve">      $5,768</v>
      </c>
      <c r="BC124" s="11" t="str">
        <f t="shared" si="24"/>
        <v xml:space="preserve">      $5,768</v>
      </c>
      <c r="BD124" s="11" t="str">
        <f t="shared" si="24"/>
        <v xml:space="preserve">      $5,768</v>
      </c>
      <c r="BE124" s="11" t="str">
        <f t="shared" si="24"/>
        <v xml:space="preserve">      $5,768</v>
      </c>
      <c r="BF124" s="11" t="str">
        <f t="shared" si="25"/>
        <v xml:space="preserve">   </v>
      </c>
      <c r="BG124" s="11" t="str">
        <f t="shared" si="25"/>
        <v xml:space="preserve">   </v>
      </c>
      <c r="BH124" s="11" t="str">
        <f t="shared" si="25"/>
        <v xml:space="preserve">   </v>
      </c>
      <c r="BI124" s="11" t="str">
        <f t="shared" si="25"/>
        <v>Fundraising &amp; Development</v>
      </c>
      <c r="BJ124" s="11" t="str">
        <f t="shared" si="25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'[3]FY 22 Bud by account'!B121</f>
        <v>US CPA</v>
      </c>
      <c r="D125" s="5"/>
      <c r="F125" s="67">
        <f>'[3]FY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3"/>
        <v>3000</v>
      </c>
      <c r="T125" s="68"/>
      <c r="U125" s="68"/>
      <c r="V125" s="68">
        <f t="shared" si="17"/>
        <v>3000</v>
      </c>
      <c r="W125" s="68">
        <f t="shared" si="18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0"/>
        <v xml:space="preserve">      $3,000</v>
      </c>
      <c r="AT125" s="11" t="str">
        <f t="shared" si="24"/>
        <v/>
      </c>
      <c r="AU125" s="11" t="str">
        <f t="shared" si="24"/>
        <v/>
      </c>
      <c r="AV125" s="11" t="str">
        <f t="shared" si="24"/>
        <v/>
      </c>
      <c r="AW125" s="11" t="str">
        <f t="shared" si="24"/>
        <v/>
      </c>
      <c r="AX125" s="11" t="str">
        <f t="shared" si="24"/>
        <v/>
      </c>
      <c r="AY125" s="11" t="str">
        <f t="shared" si="24"/>
        <v xml:space="preserve">      $3,000</v>
      </c>
      <c r="AZ125" s="11" t="str">
        <f t="shared" si="24"/>
        <v/>
      </c>
      <c r="BA125" s="11" t="str">
        <f t="shared" si="24"/>
        <v/>
      </c>
      <c r="BB125" s="11" t="str">
        <f t="shared" si="24"/>
        <v/>
      </c>
      <c r="BC125" s="11" t="str">
        <f t="shared" si="24"/>
        <v/>
      </c>
      <c r="BD125" s="11" t="str">
        <f t="shared" si="24"/>
        <v/>
      </c>
      <c r="BE125" s="11" t="str">
        <f t="shared" si="24"/>
        <v/>
      </c>
      <c r="BF125" s="11" t="str">
        <f t="shared" si="25"/>
        <v xml:space="preserve">   </v>
      </c>
      <c r="BG125" s="11" t="str">
        <f>IF(ISBLANK(C125),"   ",C125)</f>
        <v>US CPA</v>
      </c>
      <c r="BH125" s="11" t="str">
        <f>IF(ISBLANK(D125),"   ",D125)</f>
        <v xml:space="preserve">   </v>
      </c>
      <c r="BI125" s="11" t="str">
        <f>IF(ISBLANK(E125),"   ",E125)</f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'[3]FY 22 Bud by account'!B122</f>
        <v xml:space="preserve">US Financial services </v>
      </c>
      <c r="D126" s="5"/>
      <c r="E126" s="5"/>
      <c r="F126" s="67">
        <f>'[3]FY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3"/>
        <v>108000</v>
      </c>
      <c r="T126" s="68"/>
      <c r="U126" s="68"/>
      <c r="V126" s="68">
        <f t="shared" si="17"/>
        <v>99000</v>
      </c>
      <c r="W126" s="68">
        <f t="shared" si="18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0"/>
        <v xml:space="preserve">    $108,000</v>
      </c>
      <c r="AT126" s="11" t="str">
        <f t="shared" si="24"/>
        <v xml:space="preserve">      $9,000</v>
      </c>
      <c r="AU126" s="11" t="str">
        <f t="shared" si="24"/>
        <v xml:space="preserve">      $9,000</v>
      </c>
      <c r="AV126" s="11" t="str">
        <f t="shared" si="24"/>
        <v xml:space="preserve">      $9,000</v>
      </c>
      <c r="AW126" s="11" t="str">
        <f t="shared" si="24"/>
        <v xml:space="preserve">      $9,000</v>
      </c>
      <c r="AX126" s="11" t="str">
        <f t="shared" si="24"/>
        <v xml:space="preserve">      $9,000</v>
      </c>
      <c r="AY126" s="11" t="str">
        <f t="shared" si="24"/>
        <v xml:space="preserve">      $9,000</v>
      </c>
      <c r="AZ126" s="11" t="str">
        <f t="shared" si="24"/>
        <v xml:space="preserve">      $9,000</v>
      </c>
      <c r="BA126" s="11" t="str">
        <f t="shared" si="24"/>
        <v xml:space="preserve">      $9,000</v>
      </c>
      <c r="BB126" s="11" t="str">
        <f t="shared" si="24"/>
        <v xml:space="preserve">      $9,000</v>
      </c>
      <c r="BC126" s="11" t="str">
        <f t="shared" si="24"/>
        <v xml:space="preserve">      $9,000</v>
      </c>
      <c r="BD126" s="11" t="str">
        <f t="shared" si="24"/>
        <v xml:space="preserve">      $9,000</v>
      </c>
      <c r="BE126" s="11" t="str">
        <f t="shared" si="24"/>
        <v xml:space="preserve">      $9,000</v>
      </c>
      <c r="BF126" s="11" t="str">
        <f t="shared" si="25"/>
        <v xml:space="preserve">   </v>
      </c>
      <c r="BG126" s="11" t="str">
        <f>IF(ISBLANK(C126),"   ",C126)</f>
        <v xml:space="preserve">US Financial services </v>
      </c>
      <c r="BH126" s="11" t="str">
        <f>IF(ISBLANK(D126),"   ",D126)</f>
        <v xml:space="preserve">   </v>
      </c>
      <c r="BI126" s="11" t="str">
        <f>IF(ISBLANK(E126),"   ",E126)</f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'[3]FY 22 Bud by account'!B123</f>
        <v xml:space="preserve">EU Expenses </v>
      </c>
      <c r="D127" s="5"/>
      <c r="E127" s="5"/>
      <c r="F127" s="67">
        <f>'[3]FY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3"/>
        <v>43000</v>
      </c>
      <c r="T127" s="68"/>
      <c r="U127" s="68"/>
      <c r="V127" s="68">
        <f t="shared" si="17"/>
        <v>33000</v>
      </c>
      <c r="W127" s="68">
        <f t="shared" si="18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0"/>
        <v xml:space="preserve">     $43,000</v>
      </c>
      <c r="AT127" s="11" t="str">
        <f t="shared" si="24"/>
        <v/>
      </c>
      <c r="AU127" s="11" t="str">
        <f t="shared" si="24"/>
        <v/>
      </c>
      <c r="AV127" s="11" t="str">
        <f t="shared" si="24"/>
        <v xml:space="preserve">     $11,000</v>
      </c>
      <c r="AW127" s="11" t="str">
        <f t="shared" si="24"/>
        <v/>
      </c>
      <c r="AX127" s="11" t="str">
        <f t="shared" si="24"/>
        <v/>
      </c>
      <c r="AY127" s="11" t="str">
        <f t="shared" si="24"/>
        <v xml:space="preserve">     $11,000</v>
      </c>
      <c r="AZ127" s="11" t="str">
        <f t="shared" si="24"/>
        <v/>
      </c>
      <c r="BA127" s="11" t="str">
        <f t="shared" si="24"/>
        <v/>
      </c>
      <c r="BB127" s="11" t="str">
        <f t="shared" si="24"/>
        <v xml:space="preserve">     $11,000</v>
      </c>
      <c r="BC127" s="11" t="str">
        <f t="shared" si="24"/>
        <v/>
      </c>
      <c r="BD127" s="11" t="str">
        <f t="shared" si="24"/>
        <v/>
      </c>
      <c r="BE127" s="11" t="str">
        <f t="shared" si="24"/>
        <v xml:space="preserve">     $10,000</v>
      </c>
      <c r="BF127" s="11" t="str">
        <f t="shared" si="25"/>
        <v xml:space="preserve">   </v>
      </c>
      <c r="BG127" s="11" t="str">
        <f>IF(ISBLANK(C127),"   ",C127)</f>
        <v xml:space="preserve">EU Expenses </v>
      </c>
      <c r="BH127" s="11" t="str">
        <f>IF(ISBLANK(D127),"   ",D127)</f>
        <v xml:space="preserve">   </v>
      </c>
      <c r="BI127" s="11" t="str">
        <f>IF(ISBLANK(E127),"   ",E127)</f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'[3]FY 22 Bud by account'!B124</f>
        <v>Bank Service Charges</v>
      </c>
      <c r="D128" s="5"/>
      <c r="E128" s="5"/>
      <c r="F128" s="67">
        <f>'[3]FY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3"/>
        <v>21368.429999999997</v>
      </c>
      <c r="T128" s="68"/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'[3]FY 22 Bud by account'!B125</f>
        <v>Other G&amp;A</v>
      </c>
      <c r="D129" s="5"/>
      <c r="E129" s="5"/>
      <c r="F129" s="67">
        <f>'[3]FY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3"/>
        <v>40856.399999999994</v>
      </c>
      <c r="T129" s="68"/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'[3]FY 22 Bud by account'!B126</f>
        <v>Software/Internet/Hosting</v>
      </c>
      <c r="D130" s="5"/>
      <c r="E130" s="5"/>
      <c r="F130" s="67">
        <f>'[3]FY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3"/>
        <v>31885.250000000004</v>
      </c>
      <c r="T130" s="68"/>
      <c r="U130" s="68"/>
      <c r="V130" s="68">
        <f t="shared" si="17"/>
        <v>29228.145833333336</v>
      </c>
      <c r="W130" s="68">
        <f t="shared" si="18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0"/>
        <v xml:space="preserve">     $31,885</v>
      </c>
      <c r="AT130" s="11" t="str">
        <f t="shared" si="24"/>
        <v xml:space="preserve">      $2,657</v>
      </c>
      <c r="AU130" s="11" t="str">
        <f t="shared" si="24"/>
        <v xml:space="preserve">      $2,657</v>
      </c>
      <c r="AV130" s="11" t="str">
        <f t="shared" si="24"/>
        <v xml:space="preserve">      $2,657</v>
      </c>
      <c r="AW130" s="11" t="str">
        <f t="shared" si="24"/>
        <v xml:space="preserve">      $2,657</v>
      </c>
      <c r="AX130" s="11" t="str">
        <f t="shared" si="24"/>
        <v xml:space="preserve">      $2,657</v>
      </c>
      <c r="AY130" s="11" t="str">
        <f t="shared" si="24"/>
        <v xml:space="preserve">      $2,657</v>
      </c>
      <c r="AZ130" s="11" t="str">
        <f t="shared" si="24"/>
        <v xml:space="preserve">      $2,657</v>
      </c>
      <c r="BA130" s="11" t="str">
        <f t="shared" si="24"/>
        <v xml:space="preserve">      $2,657</v>
      </c>
      <c r="BB130" s="11" t="str">
        <f t="shared" si="24"/>
        <v xml:space="preserve">      $2,657</v>
      </c>
      <c r="BC130" s="11" t="str">
        <f t="shared" si="24"/>
        <v xml:space="preserve">      $2,657</v>
      </c>
      <c r="BD130" s="11" t="str">
        <f t="shared" si="24"/>
        <v xml:space="preserve">      $2,657</v>
      </c>
      <c r="BE130" s="11" t="str">
        <f t="shared" si="24"/>
        <v xml:space="preserve">      $2,657</v>
      </c>
      <c r="BF130" s="11" t="str">
        <f t="shared" si="25"/>
        <v xml:space="preserve">   </v>
      </c>
      <c r="BG130" s="11" t="str">
        <f>IF(ISBLANK(C130),"   ",C130)</f>
        <v>Software/Internet/Hosting</v>
      </c>
      <c r="BH130" s="11" t="str">
        <f>IF(ISBLANK(D130),"   ",D130)</f>
        <v xml:space="preserve">   </v>
      </c>
      <c r="BI130" s="11" t="str">
        <f>IF(ISBLANK(E130),"   ",E130)</f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'[3]FY 22 Bud by account'!B127</f>
        <v>Portal &amp; Web</v>
      </c>
      <c r="D131" s="5"/>
      <c r="E131" s="5"/>
      <c r="F131" s="67">
        <f>'[3]FY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3"/>
        <v>4871.17</v>
      </c>
      <c r="T131" s="68"/>
      <c r="U131" s="68"/>
      <c r="V131" s="68">
        <f t="shared" si="17"/>
        <v>4465.2391666666663</v>
      </c>
      <c r="W131" s="68">
        <f t="shared" si="18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0"/>
        <v xml:space="preserve">      $4,871</v>
      </c>
      <c r="AT131" s="11" t="str">
        <f t="shared" si="24"/>
        <v xml:space="preserve">        $406</v>
      </c>
      <c r="AU131" s="11" t="str">
        <f t="shared" si="24"/>
        <v xml:space="preserve">        $406</v>
      </c>
      <c r="AV131" s="11" t="str">
        <f t="shared" si="24"/>
        <v xml:space="preserve">        $406</v>
      </c>
      <c r="AW131" s="11" t="str">
        <f t="shared" si="24"/>
        <v xml:space="preserve">        $406</v>
      </c>
      <c r="AX131" s="11" t="str">
        <f t="shared" si="24"/>
        <v xml:space="preserve">        $406</v>
      </c>
      <c r="AY131" s="11" t="str">
        <f t="shared" si="24"/>
        <v xml:space="preserve">        $406</v>
      </c>
      <c r="AZ131" s="11" t="str">
        <f t="shared" si="24"/>
        <v xml:space="preserve">        $406</v>
      </c>
      <c r="BA131" s="11" t="str">
        <f t="shared" si="24"/>
        <v xml:space="preserve">        $406</v>
      </c>
      <c r="BB131" s="11" t="str">
        <f t="shared" si="24"/>
        <v xml:space="preserve">        $406</v>
      </c>
      <c r="BC131" s="11" t="str">
        <f t="shared" si="24"/>
        <v xml:space="preserve">        $406</v>
      </c>
      <c r="BD131" s="11" t="str">
        <f t="shared" si="24"/>
        <v xml:space="preserve">        $406</v>
      </c>
      <c r="BE131" s="11" t="str">
        <f t="shared" si="24"/>
        <v xml:space="preserve">        $406</v>
      </c>
      <c r="BF131" s="11" t="str">
        <f t="shared" si="25"/>
        <v xml:space="preserve">   </v>
      </c>
      <c r="BG131" s="11" t="str">
        <f>IF(ISBLANK(C131),"   ",C131)</f>
        <v>Portal &amp; Web</v>
      </c>
      <c r="BH131" s="11" t="str">
        <f>IF(ISBLANK(D131),"   ",D131)</f>
        <v xml:space="preserve">   </v>
      </c>
      <c r="BI131" s="11" t="str">
        <f>IF(ISBLANK(E131),"   ",E131)</f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/>
      <c r="U132" s="68"/>
      <c r="V132" s="68">
        <f t="shared" si="17"/>
        <v>0</v>
      </c>
      <c r="W132" s="68">
        <f t="shared" si="18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0"/>
        <v/>
      </c>
      <c r="AT132" s="11" t="str">
        <f t="shared" si="24"/>
        <v/>
      </c>
      <c r="AU132" s="11" t="str">
        <f t="shared" si="24"/>
        <v/>
      </c>
      <c r="AV132" s="11" t="str">
        <f t="shared" si="24"/>
        <v/>
      </c>
      <c r="AW132" s="11" t="str">
        <f t="shared" si="24"/>
        <v/>
      </c>
      <c r="AX132" s="11" t="str">
        <f t="shared" si="24"/>
        <v/>
      </c>
      <c r="AY132" s="11" t="str">
        <f t="shared" si="24"/>
        <v/>
      </c>
      <c r="AZ132" s="11" t="str">
        <f t="shared" si="24"/>
        <v/>
      </c>
      <c r="BA132" s="11" t="str">
        <f t="shared" si="24"/>
        <v/>
      </c>
      <c r="BB132" s="11" t="str">
        <f t="shared" si="24"/>
        <v/>
      </c>
      <c r="BC132" s="11" t="str">
        <f t="shared" si="24"/>
        <v/>
      </c>
      <c r="BD132" s="11" t="str">
        <f t="shared" si="24"/>
        <v/>
      </c>
      <c r="BE132" s="11" t="str">
        <f t="shared" si="24"/>
        <v/>
      </c>
      <c r="BF132" s="11" t="str">
        <f t="shared" si="25"/>
        <v xml:space="preserve">   </v>
      </c>
      <c r="BG132" s="11" t="str">
        <f t="shared" si="25"/>
        <v xml:space="preserve">   </v>
      </c>
      <c r="BH132" s="11" t="str">
        <f t="shared" si="25"/>
        <v xml:space="preserve">   </v>
      </c>
      <c r="BI132" s="11" t="str">
        <f t="shared" si="25"/>
        <v xml:space="preserve">   </v>
      </c>
      <c r="BJ132" s="11" t="str">
        <f t="shared" si="25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>SUM(F42:F132)</f>
        <v>2154731.838</v>
      </c>
      <c r="G133" s="70">
        <f>SUM(G42:G132)</f>
        <v>100429.31983333334</v>
      </c>
      <c r="H133" s="70">
        <f>SUM(H42:H132)</f>
        <v>100429.31983333334</v>
      </c>
      <c r="I133" s="70">
        <f>SUM(I42:I132)</f>
        <v>137824.31983333337</v>
      </c>
      <c r="J133" s="70">
        <f>SUM(J42:J132)</f>
        <v>108429.31983333334</v>
      </c>
      <c r="K133" s="70">
        <f>SUM(K42:K132)</f>
        <v>200429.31983333334</v>
      </c>
      <c r="L133" s="70">
        <f>SUM(L42:L132)</f>
        <v>198324.31983333334</v>
      </c>
      <c r="M133" s="70">
        <f>SUM(M42:M132)</f>
        <v>110429.31983333334</v>
      </c>
      <c r="N133" s="70">
        <f>SUM(N42:N132)</f>
        <v>100429.31983333334</v>
      </c>
      <c r="O133" s="70">
        <f>SUM(O42:O132)</f>
        <v>177824.31983333334</v>
      </c>
      <c r="P133" s="70">
        <f>SUM(P42:P132)</f>
        <v>637929.31983333325</v>
      </c>
      <c r="Q133" s="70">
        <f>SUM(Q42:Q132)</f>
        <v>155429.31983333334</v>
      </c>
      <c r="R133" s="70">
        <f>SUM(R42:R132)</f>
        <v>126824.31983333334</v>
      </c>
      <c r="S133" s="70">
        <f>SUM(S42:S132)</f>
        <v>2154731.838</v>
      </c>
      <c r="T133" s="69"/>
      <c r="U133" s="69"/>
      <c r="V133" s="68">
        <f t="shared" si="17"/>
        <v>2027907.5181666666</v>
      </c>
      <c r="W133" s="68">
        <f t="shared" si="18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0"/>
        <v xml:space="preserve">  $2,154,732</v>
      </c>
      <c r="AT133" s="11" t="str">
        <f t="shared" si="24"/>
        <v xml:space="preserve">    $100,429</v>
      </c>
      <c r="AU133" s="11" t="str">
        <f t="shared" si="24"/>
        <v xml:space="preserve">    $100,429</v>
      </c>
      <c r="AV133" s="11" t="str">
        <f t="shared" si="24"/>
        <v xml:space="preserve">    $137,824</v>
      </c>
      <c r="AW133" s="11" t="str">
        <f t="shared" si="24"/>
        <v xml:space="preserve">    $108,429</v>
      </c>
      <c r="AX133" s="11" t="str">
        <f t="shared" si="24"/>
        <v xml:space="preserve">    $200,429</v>
      </c>
      <c r="AY133" s="11" t="str">
        <f t="shared" si="24"/>
        <v xml:space="preserve">    $198,324</v>
      </c>
      <c r="AZ133" s="11" t="str">
        <f t="shared" si="24"/>
        <v xml:space="preserve">    $110,429</v>
      </c>
      <c r="BA133" s="11" t="str">
        <f t="shared" si="24"/>
        <v xml:space="preserve">    $100,429</v>
      </c>
      <c r="BB133" s="11" t="str">
        <f t="shared" si="24"/>
        <v xml:space="preserve">    $177,824</v>
      </c>
      <c r="BC133" s="11" t="str">
        <f t="shared" si="24"/>
        <v xml:space="preserve">    $637,929</v>
      </c>
      <c r="BD133" s="11" t="str">
        <f t="shared" si="24"/>
        <v xml:space="preserve">    $155,429</v>
      </c>
      <c r="BE133" s="11" t="str">
        <f t="shared" si="24"/>
        <v xml:space="preserve">    $126,824</v>
      </c>
      <c r="BF133" s="11" t="str">
        <f t="shared" si="25"/>
        <v xml:space="preserve">   </v>
      </c>
      <c r="BG133" s="11" t="str">
        <f t="shared" si="25"/>
        <v xml:space="preserve">   </v>
      </c>
      <c r="BH133" s="11" t="str">
        <f t="shared" si="25"/>
        <v xml:space="preserve">   </v>
      </c>
      <c r="BI133" s="11" t="str">
        <f t="shared" si="25"/>
        <v xml:space="preserve">   </v>
      </c>
      <c r="BJ133" s="11" t="str">
        <f t="shared" si="25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>F38-F133</f>
        <v>268.16200000001118</v>
      </c>
      <c r="G134" s="71">
        <f>G38-G133</f>
        <v>-47929.319833333349</v>
      </c>
      <c r="H134" s="71">
        <f>H38-H133</f>
        <v>-37929.319833333349</v>
      </c>
      <c r="I134" s="71">
        <f>I38-I133</f>
        <v>-51824.319833333371</v>
      </c>
      <c r="J134" s="71">
        <f>J38-J133</f>
        <v>-55929.319833333349</v>
      </c>
      <c r="K134" s="71">
        <f>K38-K133</f>
        <v>-47929.319833333342</v>
      </c>
      <c r="L134" s="71">
        <f>L38-L133</f>
        <v>187675.68016666666</v>
      </c>
      <c r="M134" s="71">
        <f>M38-M133</f>
        <v>-51929.319833333349</v>
      </c>
      <c r="N134" s="71">
        <f>N38-N133</f>
        <v>-47929.319833333349</v>
      </c>
      <c r="O134" s="71">
        <f>O38-O133</f>
        <v>133175.68016666666</v>
      </c>
      <c r="P134" s="71">
        <f>P38-P133</f>
        <v>79570.680166666745</v>
      </c>
      <c r="Q134" s="71">
        <f>Q38-Q133</f>
        <v>-17929.319833333342</v>
      </c>
      <c r="R134" s="71">
        <f>R38-R133</f>
        <v>-40824.319833333342</v>
      </c>
      <c r="S134" s="71">
        <f>S38-S133</f>
        <v>268.16200000001118</v>
      </c>
      <c r="T134" s="69"/>
      <c r="U134" s="69"/>
      <c r="V134" s="68">
        <f t="shared" si="17"/>
        <v>41092.481833333295</v>
      </c>
      <c r="W134" s="68">
        <f t="shared" si="18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0"/>
        <v xml:space="preserve">      $0,268</v>
      </c>
      <c r="AT134" s="11" t="str">
        <f t="shared" ref="AT134:BE136" si="26">IF(ISBLANK(G134),"",RIGHT(REPT(" ",15)&amp;TEXT(G134,"$#,##0"),12))</f>
        <v xml:space="preserve">    -$47,929</v>
      </c>
      <c r="AU134" s="11" t="str">
        <f t="shared" si="26"/>
        <v xml:space="preserve">    -$37,929</v>
      </c>
      <c r="AV134" s="11" t="str">
        <f t="shared" si="26"/>
        <v xml:space="preserve">    -$51,824</v>
      </c>
      <c r="AW134" s="11" t="str">
        <f t="shared" si="26"/>
        <v xml:space="preserve">    -$55,929</v>
      </c>
      <c r="AX134" s="11" t="str">
        <f t="shared" si="26"/>
        <v xml:space="preserve">    -$47,929</v>
      </c>
      <c r="AY134" s="11" t="str">
        <f t="shared" si="26"/>
        <v xml:space="preserve">    $187,676</v>
      </c>
      <c r="AZ134" s="11" t="str">
        <f t="shared" si="26"/>
        <v xml:space="preserve">    -$51,929</v>
      </c>
      <c r="BA134" s="11" t="str">
        <f t="shared" si="26"/>
        <v xml:space="preserve">    -$47,929</v>
      </c>
      <c r="BB134" s="11" t="str">
        <f t="shared" si="26"/>
        <v xml:space="preserve">    $133,176</v>
      </c>
      <c r="BC134" s="11" t="str">
        <f t="shared" si="26"/>
        <v xml:space="preserve">     $79,571</v>
      </c>
      <c r="BD134" s="11" t="str">
        <f t="shared" si="26"/>
        <v xml:space="preserve">    -$17,929</v>
      </c>
      <c r="BE134" s="11" t="str">
        <f t="shared" si="26"/>
        <v xml:space="preserve">    -$40,824</v>
      </c>
      <c r="BF134" s="11" t="str">
        <f t="shared" ref="BF134:BJ135" si="27">IF(ISBLANK(A134),"   ",A134)</f>
        <v xml:space="preserve">   </v>
      </c>
      <c r="BG134" s="11" t="str">
        <f t="shared" si="27"/>
        <v xml:space="preserve">   </v>
      </c>
      <c r="BH134" s="11" t="str">
        <f t="shared" si="27"/>
        <v xml:space="preserve">   </v>
      </c>
      <c r="BI134" s="11" t="str">
        <f t="shared" si="27"/>
        <v xml:space="preserve">   </v>
      </c>
      <c r="BJ134" s="11" t="str">
        <f t="shared" si="27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28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0"/>
        <v/>
      </c>
      <c r="AT135" s="11" t="str">
        <f t="shared" si="26"/>
        <v/>
      </c>
      <c r="AU135" s="11" t="str">
        <f t="shared" si="26"/>
        <v/>
      </c>
      <c r="AV135" s="11" t="str">
        <f t="shared" si="26"/>
        <v/>
      </c>
      <c r="AW135" s="11" t="str">
        <f t="shared" si="26"/>
        <v/>
      </c>
      <c r="AX135" s="11" t="str">
        <f t="shared" si="26"/>
        <v/>
      </c>
      <c r="AY135" s="11" t="str">
        <f t="shared" si="26"/>
        <v/>
      </c>
      <c r="AZ135" s="11" t="str">
        <f t="shared" si="26"/>
        <v/>
      </c>
      <c r="BA135" s="11" t="str">
        <f t="shared" si="26"/>
        <v/>
      </c>
      <c r="BB135" s="11" t="str">
        <f t="shared" si="26"/>
        <v/>
      </c>
      <c r="BC135" s="11" t="str">
        <f t="shared" si="26"/>
        <v/>
      </c>
      <c r="BD135" s="11" t="str">
        <f t="shared" si="26"/>
        <v/>
      </c>
      <c r="BE135" s="11" t="str">
        <f t="shared" si="26"/>
        <v xml:space="preserve">    -$40,824</v>
      </c>
      <c r="BF135" s="11" t="str">
        <f t="shared" si="27"/>
        <v xml:space="preserve">   </v>
      </c>
      <c r="BG135" s="11" t="str">
        <f t="shared" si="27"/>
        <v xml:space="preserve">   </v>
      </c>
      <c r="BH135" s="11" t="str">
        <f t="shared" si="27"/>
        <v xml:space="preserve">   </v>
      </c>
      <c r="BI135" s="11" t="str">
        <f t="shared" si="27"/>
        <v xml:space="preserve">   </v>
      </c>
      <c r="BJ135" s="11" t="str">
        <f t="shared" si="27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>G124+G123+G111+G101+G91+G76+G65+G47</f>
        <v>53217.548999999992</v>
      </c>
      <c r="H136" s="56">
        <f>H124+H123+H111+H101+H91+H76+H65+H47</f>
        <v>53217.548999999992</v>
      </c>
      <c r="I136" s="56">
        <f>I124+I123+I111+I101+I91+I76+I65+I47</f>
        <v>53217.548999999992</v>
      </c>
      <c r="J136" s="56">
        <f>J124+J123+J111+J101+J91+J76+J65+J47</f>
        <v>53217.548999999992</v>
      </c>
      <c r="K136" s="56">
        <f>K124+K123+K111+K101+K91+K76+K65+K47</f>
        <v>53217.548999999992</v>
      </c>
      <c r="L136" s="56">
        <f>L124+L123+L111+L101+L91+L76+L65+L47</f>
        <v>53217.548999999992</v>
      </c>
      <c r="M136" s="56">
        <f>M124+M123+M111+M101+M91+M76+M65+M47</f>
        <v>53217.548999999992</v>
      </c>
      <c r="N136" s="56">
        <f>N124+N123+N111+N101+N91+N76+N65+N47</f>
        <v>53217.548999999992</v>
      </c>
      <c r="O136" s="56">
        <f>O124+O123+O111+O101+O91+O76+O65+O47</f>
        <v>103217.549</v>
      </c>
      <c r="P136" s="56">
        <f>P124+P123+P111+P101+P91+P76+P65+P47</f>
        <v>53217.548999999992</v>
      </c>
      <c r="Q136" s="56">
        <f>Q124+Q123+Q111+Q101+Q91+Q76+Q65+Q47</f>
        <v>53217.548999999992</v>
      </c>
      <c r="R136" s="56">
        <f>R124+R123+R111+R101+R91+R76+R65+R47</f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0"/>
        <v/>
      </c>
      <c r="AT136" s="11" t="str">
        <f t="shared" si="26"/>
        <v xml:space="preserve">     $53,218</v>
      </c>
      <c r="AU136" s="11" t="str">
        <f t="shared" si="26"/>
        <v xml:space="preserve">     $53,218</v>
      </c>
      <c r="AV136" s="11" t="str">
        <f t="shared" si="26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K65"/>
  <sheetViews>
    <sheetView zoomScale="154" zoomScaleNormal="154" workbookViewId="0">
      <pane xSplit="6" ySplit="2" topLeftCell="G44" activePane="bottomRight" state="frozen"/>
      <selection pane="topRight" activeCell="G1" sqref="G1"/>
      <selection pane="bottomLeft" activeCell="A3" sqref="A3"/>
      <selection pane="bottomRight" activeCell="G54" sqref="G54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5" bestFit="1" customWidth="1"/>
    <col min="9" max="9" width="9.28515625" style="75" bestFit="1" customWidth="1"/>
    <col min="10" max="10" width="8.7109375" style="75" bestFit="1" customWidth="1"/>
    <col min="11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05"/>
      <c r="H1" s="105"/>
      <c r="I1" s="105"/>
      <c r="J1" s="105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04" t="s">
        <v>7817</v>
      </c>
      <c r="H2" s="104" t="s">
        <v>7816</v>
      </c>
      <c r="I2" s="104" t="s">
        <v>7743</v>
      </c>
      <c r="J2" s="104" t="s">
        <v>7742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83"/>
      <c r="H3" s="83"/>
      <c r="I3" s="83"/>
      <c r="J3" s="141"/>
    </row>
    <row r="4" spans="1:11" x14ac:dyDescent="0.25">
      <c r="A4" s="77"/>
      <c r="B4" s="77" t="s">
        <v>51</v>
      </c>
      <c r="C4" s="77"/>
      <c r="D4" s="77"/>
      <c r="E4" s="77"/>
      <c r="F4" s="77"/>
      <c r="G4" s="83"/>
      <c r="H4" s="83"/>
      <c r="I4" s="83"/>
      <c r="J4" s="141"/>
    </row>
    <row r="5" spans="1:11" x14ac:dyDescent="0.25">
      <c r="A5" s="77"/>
      <c r="B5" s="77"/>
      <c r="C5" s="77" t="s">
        <v>52</v>
      </c>
      <c r="D5" s="77"/>
      <c r="E5" s="77"/>
      <c r="F5" s="77"/>
      <c r="G5" s="83"/>
      <c r="H5" s="83"/>
      <c r="I5" s="83"/>
      <c r="J5" s="141"/>
    </row>
    <row r="6" spans="1:11" x14ac:dyDescent="0.25">
      <c r="A6" s="77"/>
      <c r="B6" s="77"/>
      <c r="C6" s="77"/>
      <c r="D6" s="77" t="s">
        <v>68</v>
      </c>
      <c r="E6" s="77"/>
      <c r="F6" s="77"/>
      <c r="G6" s="51">
        <v>1165.57</v>
      </c>
      <c r="H6" s="51">
        <v>3845.84</v>
      </c>
      <c r="I6" s="51">
        <f>ROUND((G6-H6),5)</f>
        <v>-2680.27</v>
      </c>
      <c r="J6" s="141">
        <f>ROUND(IF(G6=0, IF(H6=0, 0, SIGN(-H6)), IF(H6=0, SIGN(G6), (G6-H6)/ABS(H6))),5)</f>
        <v>-0.69693000000000005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51">
        <v>9189.94</v>
      </c>
      <c r="H7" s="51">
        <v>9216.75</v>
      </c>
      <c r="I7" s="51">
        <f>ROUND((G7-H7),5)</f>
        <v>-26.81</v>
      </c>
      <c r="J7" s="141">
        <f>ROUND(IF(G7=0, IF(H7=0, 0, SIGN(-H7)), IF(H7=0, SIGN(G7), (G7-H7)/ABS(H7))),5)</f>
        <v>-2.9099999999999998E-3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51">
        <v>10907.01</v>
      </c>
      <c r="H8" s="51">
        <v>10904.79</v>
      </c>
      <c r="I8" s="51">
        <f>ROUND((G8-H8),5)</f>
        <v>2.2200000000000002</v>
      </c>
      <c r="J8" s="141">
        <f>ROUND(IF(G8=0, IF(H8=0, 0, SIGN(-H8)), IF(H8=0, SIGN(G8), (G8-H8)/ABS(H8))),5)</f>
        <v>2.0000000000000001E-4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52">
        <v>1467647.55</v>
      </c>
      <c r="H9" s="52">
        <v>1062252.1499999999</v>
      </c>
      <c r="I9" s="52">
        <f>ROUND((G9-H9),5)</f>
        <v>405395.4</v>
      </c>
      <c r="J9" s="143">
        <f>ROUND(IF(G9=0, IF(H9=0, 0, SIGN(-H9)), IF(H9=0, SIGN(G9), (G9-H9)/ABS(H9))),5)</f>
        <v>0.38163999999999998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51">
        <f>ROUND(SUM(G5:G9),5)</f>
        <v>1488910.07</v>
      </c>
      <c r="H10" s="51">
        <f>ROUND(SUM(H5:H9),5)</f>
        <v>1086219.53</v>
      </c>
      <c r="I10" s="51">
        <f>ROUND((G10-H10),5)</f>
        <v>402690.54</v>
      </c>
      <c r="J10" s="141">
        <f>ROUND(IF(G10=0, IF(H10=0, 0, SIGN(-H10)), IF(H10=0, SIGN(G10), (G10-H10)/ABS(H10))),5)</f>
        <v>0.37073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51"/>
      <c r="H11" s="51"/>
      <c r="I11" s="51"/>
      <c r="J11" s="141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52">
        <v>147227.1</v>
      </c>
      <c r="H12" s="52">
        <v>62449.73</v>
      </c>
      <c r="I12" s="52">
        <f>ROUND((G12-H12),5)</f>
        <v>84777.37</v>
      </c>
      <c r="J12" s="143">
        <f>ROUND(IF(G12=0, IF(H12=0, 0, SIGN(-H12)), IF(H12=0, SIGN(G12), (G12-H12)/ABS(H12))),5)</f>
        <v>1.3575299999999999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51">
        <f>ROUND(SUM(G11:G12),5)</f>
        <v>147227.1</v>
      </c>
      <c r="H13" s="51">
        <f>ROUND(SUM(H11:H12),5)</f>
        <v>62449.73</v>
      </c>
      <c r="I13" s="51">
        <f>ROUND((G13-H13),5)</f>
        <v>84777.37</v>
      </c>
      <c r="J13" s="141">
        <f>ROUND(IF(G13=0, IF(H13=0, 0, SIGN(-H13)), IF(H13=0, SIGN(G13), (G13-H13)/ABS(H13))),5)</f>
        <v>1.3575299999999999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51"/>
      <c r="H14" s="51"/>
      <c r="I14" s="51"/>
      <c r="J14" s="141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51">
        <v>0</v>
      </c>
      <c r="H15" s="51">
        <v>58100.47</v>
      </c>
      <c r="I15" s="51">
        <f>ROUND((G15-H15),5)</f>
        <v>-58100.47</v>
      </c>
      <c r="J15" s="141">
        <f>ROUND(IF(G15=0, IF(H15=0, 0, SIGN(-H15)), IF(H15=0, SIGN(G15), (G15-H15)/ABS(H15))),5)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54">
        <f>ROUND(SUM(G14:G15),5)</f>
        <v>0</v>
      </c>
      <c r="H16" s="54">
        <f>ROUND(SUM(H14:H15),5)</f>
        <v>58100.47</v>
      </c>
      <c r="I16" s="54">
        <f>ROUND((G16-H16),5)</f>
        <v>-58100.47</v>
      </c>
      <c r="J16" s="142">
        <f>ROUND(IF(G16=0, IF(H16=0, 0, SIGN(-H16)), IF(H16=0, SIGN(G16), (G16-H16)/ABS(H16))),5)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51">
        <f>ROUND(G4+G10+G13+G16,5)</f>
        <v>1636137.17</v>
      </c>
      <c r="H17" s="51">
        <f>ROUND(H4+H10+H13+H16,5)</f>
        <v>1206769.73</v>
      </c>
      <c r="I17" s="51">
        <f>ROUND((G17-H17),5)</f>
        <v>429367.44</v>
      </c>
      <c r="J17" s="141">
        <f>ROUND(IF(G17=0, IF(H17=0, 0, SIGN(-H17)), IF(H17=0, SIGN(G17), (G17-H17)/ABS(H17))),5)</f>
        <v>0.35580000000000001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51"/>
      <c r="H18" s="51"/>
      <c r="I18" s="51"/>
      <c r="J18" s="141"/>
    </row>
    <row r="19" spans="1:10" x14ac:dyDescent="0.25">
      <c r="A19" s="77"/>
      <c r="B19" s="77"/>
      <c r="C19" s="77" t="s">
        <v>76</v>
      </c>
      <c r="D19" s="77"/>
      <c r="E19" s="77"/>
      <c r="F19" s="77"/>
      <c r="G19" s="51"/>
      <c r="H19" s="51"/>
      <c r="I19" s="51"/>
      <c r="J19" s="141"/>
    </row>
    <row r="20" spans="1:10" x14ac:dyDescent="0.25">
      <c r="A20" s="77"/>
      <c r="B20" s="77"/>
      <c r="C20" s="77"/>
      <c r="D20" s="77" t="s">
        <v>77</v>
      </c>
      <c r="E20" s="77"/>
      <c r="F20" s="77"/>
      <c r="G20" s="51">
        <v>-40862.980000000003</v>
      </c>
      <c r="H20" s="51">
        <v>-40862.980000000003</v>
      </c>
      <c r="I20" s="51">
        <f>ROUND((G20-H20),5)</f>
        <v>0</v>
      </c>
      <c r="J20" s="141">
        <f>ROUND(IF(G20=0, IF(H20=0, 0, SIGN(-H20)), IF(H20=0, SIGN(G20), (G20-H20)/ABS(H20))),5)</f>
        <v>0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52">
        <v>45454.86</v>
      </c>
      <c r="H21" s="52">
        <v>45454.86</v>
      </c>
      <c r="I21" s="52">
        <f>ROUND((G21-H21),5)</f>
        <v>0</v>
      </c>
      <c r="J21" s="143">
        <f>ROUND(IF(G21=0, IF(H21=0, 0, SIGN(-H21)), IF(H21=0, SIGN(G21), (G21-H21)/ABS(H21))),5)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51">
        <f>ROUND(SUM(G19:G21),5)</f>
        <v>4591.88</v>
      </c>
      <c r="H22" s="51">
        <f>ROUND(SUM(H19:H21),5)</f>
        <v>4591.88</v>
      </c>
      <c r="I22" s="51">
        <f>ROUND((G22-H22),5)</f>
        <v>0</v>
      </c>
      <c r="J22" s="141">
        <f>ROUND(IF(G22=0, IF(H22=0, 0, SIGN(-H22)), IF(H22=0, SIGN(G22), (G22-H22)/ABS(H22))),5)</f>
        <v>0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51"/>
      <c r="H23" s="51"/>
      <c r="I23" s="51"/>
      <c r="J23" s="141"/>
    </row>
    <row r="24" spans="1:10" x14ac:dyDescent="0.25">
      <c r="A24" s="77"/>
      <c r="B24" s="77"/>
      <c r="C24" s="77"/>
      <c r="D24" s="77" t="s">
        <v>81</v>
      </c>
      <c r="E24" s="77"/>
      <c r="F24" s="77"/>
      <c r="G24" s="51">
        <v>-30000</v>
      </c>
      <c r="H24" s="51">
        <v>-30000</v>
      </c>
      <c r="I24" s="51">
        <f>ROUND((G24-H24),5)</f>
        <v>0</v>
      </c>
      <c r="J24" s="141">
        <f>ROUND(IF(G24=0, IF(H24=0, 0, SIGN(-H24)), IF(H24=0, SIGN(G24), (G24-H24)/ABS(H24))),5)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51">
        <v>30000</v>
      </c>
      <c r="H25" s="51">
        <v>30000</v>
      </c>
      <c r="I25" s="51">
        <f>ROUND((G25-H25),5)</f>
        <v>0</v>
      </c>
      <c r="J25" s="141">
        <f>ROUND(IF(G25=0, IF(H25=0, 0, SIGN(-H25)), IF(H25=0, SIGN(G25), (G25-H25)/ABS(H25))),5)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42">
        <f>ROUND(IF(G26=0, IF(H26=0, 0, SIGN(-H26)), IF(H26=0, SIGN(G26), (G26-H26)/ABS(H26))),5)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51">
        <f>ROUND(G18+G22+G26,5)</f>
        <v>4591.88</v>
      </c>
      <c r="H27" s="51">
        <f>ROUND(H18+H22+H26,5)</f>
        <v>4591.88</v>
      </c>
      <c r="I27" s="51">
        <f>ROUND((G27-H27),5)</f>
        <v>0</v>
      </c>
      <c r="J27" s="141">
        <f>ROUND(IF(G27=0, IF(H27=0, 0, SIGN(-H27)), IF(H27=0, SIGN(G27), (G27-H27)/ABS(H27))),5)</f>
        <v>0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51"/>
      <c r="H28" s="51"/>
      <c r="I28" s="51"/>
      <c r="J28" s="141"/>
    </row>
    <row r="29" spans="1:10" x14ac:dyDescent="0.25">
      <c r="A29" s="77"/>
      <c r="B29" s="77"/>
      <c r="C29" s="77" t="s">
        <v>85</v>
      </c>
      <c r="D29" s="77"/>
      <c r="E29" s="77"/>
      <c r="F29" s="77"/>
      <c r="G29" s="51">
        <v>0</v>
      </c>
      <c r="H29" s="51">
        <v>39230.959999999999</v>
      </c>
      <c r="I29" s="51">
        <f>ROUND((G29-H29),5)</f>
        <v>-39230.959999999999</v>
      </c>
      <c r="J29" s="141">
        <f>ROUND(IF(G29=0, IF(H29=0, 0, SIGN(-H29)), IF(H29=0, SIGN(G29), (G29-H29)/ABS(H29))),5)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51"/>
      <c r="H30" s="51"/>
      <c r="I30" s="51"/>
      <c r="J30" s="141"/>
    </row>
    <row r="31" spans="1:10" x14ac:dyDescent="0.25">
      <c r="A31" s="77"/>
      <c r="B31" s="77"/>
      <c r="C31" s="77"/>
      <c r="D31" s="77" t="s">
        <v>87</v>
      </c>
      <c r="E31" s="77"/>
      <c r="F31" s="77"/>
      <c r="G31" s="51">
        <v>41890.22</v>
      </c>
      <c r="H31" s="51">
        <v>24073.09</v>
      </c>
      <c r="I31" s="51">
        <f>ROUND((G31-H31),5)</f>
        <v>17817.13</v>
      </c>
      <c r="J31" s="141">
        <f>ROUND(IF(G31=0, IF(H31=0, 0, SIGN(-H31)), IF(H31=0, SIGN(G31), (G31-H31)/ABS(H31))),5)</f>
        <v>0.74012999999999995</v>
      </c>
    </row>
    <row r="32" spans="1:10" x14ac:dyDescent="0.25">
      <c r="A32" s="77"/>
      <c r="B32" s="77"/>
      <c r="C32" s="77"/>
      <c r="D32" s="77" t="s">
        <v>7719</v>
      </c>
      <c r="E32" s="77"/>
      <c r="F32" s="77"/>
      <c r="G32" s="51">
        <v>10275</v>
      </c>
      <c r="H32" s="51">
        <v>0</v>
      </c>
      <c r="I32" s="51">
        <f>ROUND((G32-H32),5)</f>
        <v>10275</v>
      </c>
      <c r="J32" s="141">
        <f>ROUND(IF(G32=0, IF(H32=0, 0, SIGN(-H32)), IF(H32=0, SIGN(G32), (G32-H32)/ABS(H32))),5)</f>
        <v>1</v>
      </c>
    </row>
    <row r="33" spans="1:10" x14ac:dyDescent="0.25">
      <c r="A33" s="77"/>
      <c r="B33" s="77"/>
      <c r="C33" s="77"/>
      <c r="D33" s="77" t="s">
        <v>88</v>
      </c>
      <c r="E33" s="77"/>
      <c r="F33" s="77"/>
      <c r="G33" s="51">
        <v>0</v>
      </c>
      <c r="H33" s="51">
        <v>8634.6299999999992</v>
      </c>
      <c r="I33" s="51">
        <f>ROUND((G33-H33),5)</f>
        <v>-8634.6299999999992</v>
      </c>
      <c r="J33" s="141">
        <f>ROUND(IF(G33=0, IF(H33=0, 0, SIGN(-H33)), IF(H33=0, SIGN(G33), (G33-H33)/ABS(H33))),5)</f>
        <v>-1</v>
      </c>
    </row>
    <row r="34" spans="1:10" ht="15.75" thickBot="1" x14ac:dyDescent="0.3">
      <c r="A34" s="77"/>
      <c r="B34" s="77"/>
      <c r="C34" s="77"/>
      <c r="D34" s="77" t="s">
        <v>89</v>
      </c>
      <c r="E34" s="77"/>
      <c r="F34" s="77"/>
      <c r="G34" s="51">
        <v>23560.21</v>
      </c>
      <c r="H34" s="51">
        <v>2239.79</v>
      </c>
      <c r="I34" s="51">
        <f>ROUND((G34-H34),5)</f>
        <v>21320.42</v>
      </c>
      <c r="J34" s="141">
        <f>ROUND(IF(G34=0, IF(H34=0, 0, SIGN(-H34)), IF(H34=0, SIGN(G34), (G34-H34)/ABS(H34))),5)</f>
        <v>9.5189400000000006</v>
      </c>
    </row>
    <row r="35" spans="1:10" ht="15.75" thickBot="1" x14ac:dyDescent="0.3">
      <c r="A35" s="77"/>
      <c r="B35" s="77"/>
      <c r="C35" s="77" t="s">
        <v>90</v>
      </c>
      <c r="D35" s="77"/>
      <c r="E35" s="77"/>
      <c r="F35" s="77"/>
      <c r="G35" s="89">
        <f>ROUND(SUM(G30:G34),5)</f>
        <v>75725.429999999993</v>
      </c>
      <c r="H35" s="89">
        <f>ROUND(SUM(H30:H34),5)</f>
        <v>34947.51</v>
      </c>
      <c r="I35" s="89">
        <f>ROUND((G35-H35),5)</f>
        <v>40777.919999999998</v>
      </c>
      <c r="J35" s="140">
        <f>ROUND(IF(G35=0, IF(H35=0, 0, SIGN(-H35)), IF(H35=0, SIGN(G35), (G35-H35)/ABS(H35))),5)</f>
        <v>1.16683</v>
      </c>
    </row>
    <row r="36" spans="1:10" ht="15.75" thickBot="1" x14ac:dyDescent="0.3">
      <c r="A36" s="77"/>
      <c r="B36" s="77" t="s">
        <v>91</v>
      </c>
      <c r="C36" s="77"/>
      <c r="D36" s="77"/>
      <c r="E36" s="77"/>
      <c r="F36" s="77"/>
      <c r="G36" s="89">
        <f>ROUND(SUM(G28:G29)+G35,5)</f>
        <v>75725.429999999993</v>
      </c>
      <c r="H36" s="89">
        <f>ROUND(SUM(H28:H29)+H35,5)</f>
        <v>74178.47</v>
      </c>
      <c r="I36" s="89">
        <f>ROUND((G36-H36),5)</f>
        <v>1546.96</v>
      </c>
      <c r="J36" s="140">
        <f>ROUND(IF(G36=0, IF(H36=0, 0, SIGN(-H36)), IF(H36=0, SIGN(G36), (G36-H36)/ABS(H36))),5)</f>
        <v>2.085E-2</v>
      </c>
    </row>
    <row r="37" spans="1:10" s="2" customFormat="1" ht="12" thickBot="1" x14ac:dyDescent="0.25">
      <c r="A37" s="77" t="s">
        <v>58</v>
      </c>
      <c r="B37" s="77"/>
      <c r="C37" s="77"/>
      <c r="D37" s="77"/>
      <c r="E37" s="77"/>
      <c r="F37" s="77"/>
      <c r="G37" s="55">
        <f>ROUND(G3+G17+G27+G36,5)</f>
        <v>1716454.48</v>
      </c>
      <c r="H37" s="55">
        <f>ROUND(H3+H17+H27+H36,5)</f>
        <v>1285540.08</v>
      </c>
      <c r="I37" s="55">
        <f>ROUND((G37-H37),5)</f>
        <v>430914.4</v>
      </c>
      <c r="J37" s="139">
        <f>ROUND(IF(G37=0, IF(H37=0, 0, SIGN(-H37)), IF(H37=0, SIGN(G37), (G37-H37)/ABS(H37))),5)</f>
        <v>0.3352</v>
      </c>
    </row>
    <row r="38" spans="1:10" ht="15.75" thickTop="1" x14ac:dyDescent="0.25">
      <c r="A38" s="77" t="s">
        <v>59</v>
      </c>
      <c r="B38" s="77"/>
      <c r="C38" s="77"/>
      <c r="D38" s="77"/>
      <c r="E38" s="77"/>
      <c r="F38" s="77"/>
      <c r="G38" s="51"/>
      <c r="H38" s="51"/>
      <c r="I38" s="51"/>
      <c r="J38" s="141"/>
    </row>
    <row r="39" spans="1:10" x14ac:dyDescent="0.25">
      <c r="A39" s="77"/>
      <c r="B39" s="77" t="s">
        <v>60</v>
      </c>
      <c r="C39" s="77"/>
      <c r="D39" s="77"/>
      <c r="E39" s="77"/>
      <c r="F39" s="77"/>
      <c r="G39" s="51"/>
      <c r="H39" s="51"/>
      <c r="I39" s="51"/>
      <c r="J39" s="141"/>
    </row>
    <row r="40" spans="1:10" x14ac:dyDescent="0.25">
      <c r="A40" s="77"/>
      <c r="B40" s="77"/>
      <c r="C40" s="77" t="s">
        <v>61</v>
      </c>
      <c r="D40" s="77"/>
      <c r="E40" s="77"/>
      <c r="F40" s="77"/>
      <c r="G40" s="51"/>
      <c r="H40" s="51"/>
      <c r="I40" s="51"/>
      <c r="J40" s="141"/>
    </row>
    <row r="41" spans="1:10" x14ac:dyDescent="0.25">
      <c r="A41" s="77"/>
      <c r="B41" s="77"/>
      <c r="C41" s="77"/>
      <c r="D41" s="77" t="s">
        <v>62</v>
      </c>
      <c r="E41" s="77"/>
      <c r="F41" s="77"/>
      <c r="G41" s="51"/>
      <c r="H41" s="51"/>
      <c r="I41" s="51"/>
      <c r="J41" s="141"/>
    </row>
    <row r="42" spans="1:10" ht="15.75" thickBot="1" x14ac:dyDescent="0.3">
      <c r="A42" s="77"/>
      <c r="B42" s="77"/>
      <c r="C42" s="77"/>
      <c r="D42" s="77"/>
      <c r="E42" s="77" t="s">
        <v>62</v>
      </c>
      <c r="F42" s="77"/>
      <c r="G42" s="52">
        <v>78343.25</v>
      </c>
      <c r="H42" s="52">
        <v>84100.66</v>
      </c>
      <c r="I42" s="52">
        <f>ROUND((G42-H42),5)</f>
        <v>-5757.41</v>
      </c>
      <c r="J42" s="143">
        <f>ROUND(IF(G42=0, IF(H42=0, 0, SIGN(-H42)), IF(H42=0, SIGN(G42), (G42-H42)/ABS(H42))),5)</f>
        <v>-6.8459999999999993E-2</v>
      </c>
    </row>
    <row r="43" spans="1:10" x14ac:dyDescent="0.25">
      <c r="A43" s="77"/>
      <c r="B43" s="77"/>
      <c r="C43" s="77"/>
      <c r="D43" s="77" t="s">
        <v>92</v>
      </c>
      <c r="E43" s="77"/>
      <c r="F43" s="77"/>
      <c r="G43" s="51">
        <f>ROUND(SUM(G41:G42),5)</f>
        <v>78343.25</v>
      </c>
      <c r="H43" s="51">
        <f>ROUND(SUM(H41:H42),5)</f>
        <v>84100.66</v>
      </c>
      <c r="I43" s="51">
        <f>ROUND((G43-H43),5)</f>
        <v>-5757.41</v>
      </c>
      <c r="J43" s="141">
        <f>ROUND(IF(G43=0, IF(H43=0, 0, SIGN(-H43)), IF(H43=0, SIGN(G43), (G43-H43)/ABS(H43))),5)</f>
        <v>-6.8459999999999993E-2</v>
      </c>
    </row>
    <row r="44" spans="1:10" x14ac:dyDescent="0.25">
      <c r="A44" s="77"/>
      <c r="B44" s="77"/>
      <c r="C44" s="77"/>
      <c r="D44" s="77" t="s">
        <v>63</v>
      </c>
      <c r="E44" s="77"/>
      <c r="F44" s="77"/>
      <c r="G44" s="51"/>
      <c r="H44" s="51"/>
      <c r="I44" s="51"/>
      <c r="J44" s="141"/>
    </row>
    <row r="45" spans="1:10" x14ac:dyDescent="0.25">
      <c r="A45" s="77"/>
      <c r="B45" s="77"/>
      <c r="C45" s="77"/>
      <c r="D45" s="77"/>
      <c r="E45" s="77" t="s">
        <v>7732</v>
      </c>
      <c r="F45" s="77"/>
      <c r="G45" s="51">
        <v>0</v>
      </c>
      <c r="H45" s="51">
        <v>112700</v>
      </c>
      <c r="I45" s="51">
        <f>ROUND((G45-H45),5)</f>
        <v>-112700</v>
      </c>
      <c r="J45" s="141">
        <f>ROUND(IF(G45=0, IF(H45=0, 0, SIGN(-H45)), IF(H45=0, SIGN(G45), (G45-H45)/ABS(H45))),5)</f>
        <v>-1</v>
      </c>
    </row>
    <row r="46" spans="1:10" x14ac:dyDescent="0.25">
      <c r="A46" s="77"/>
      <c r="B46" s="77"/>
      <c r="C46" s="77"/>
      <c r="D46" s="77"/>
      <c r="E46" s="77" t="s">
        <v>93</v>
      </c>
      <c r="F46" s="77"/>
      <c r="G46" s="51"/>
      <c r="H46" s="51"/>
      <c r="I46" s="51"/>
      <c r="J46" s="141"/>
    </row>
    <row r="47" spans="1:10" x14ac:dyDescent="0.25">
      <c r="A47" s="77"/>
      <c r="B47" s="77"/>
      <c r="C47" s="77"/>
      <c r="D47" s="77"/>
      <c r="E47" s="77"/>
      <c r="F47" s="77" t="s">
        <v>7676</v>
      </c>
      <c r="G47" s="51">
        <v>293249.96999999997</v>
      </c>
      <c r="H47" s="51">
        <v>0</v>
      </c>
      <c r="I47" s="51">
        <f>ROUND((G47-H47),5)</f>
        <v>293249.96999999997</v>
      </c>
      <c r="J47" s="141">
        <f>ROUND(IF(G47=0, IF(H47=0, 0, SIGN(-H47)), IF(H47=0, SIGN(G47), (G47-H47)/ABS(H47))),5)</f>
        <v>1</v>
      </c>
    </row>
    <row r="48" spans="1:10" x14ac:dyDescent="0.25">
      <c r="A48" s="77"/>
      <c r="B48" s="77"/>
      <c r="C48" s="77"/>
      <c r="D48" s="77"/>
      <c r="E48" s="77"/>
      <c r="F48" s="77" t="s">
        <v>7554</v>
      </c>
      <c r="G48" s="51">
        <v>52000</v>
      </c>
      <c r="H48" s="51">
        <v>0</v>
      </c>
      <c r="I48" s="51">
        <f>ROUND((G48-H48),5)</f>
        <v>52000</v>
      </c>
      <c r="J48" s="141">
        <f>ROUND(IF(G48=0, IF(H48=0, 0, SIGN(-H48)), IF(H48=0, SIGN(G48), (G48-H48)/ABS(H48))),5)</f>
        <v>1</v>
      </c>
    </row>
    <row r="49" spans="1:10" x14ac:dyDescent="0.25">
      <c r="A49" s="77"/>
      <c r="B49" s="77"/>
      <c r="C49" s="77"/>
      <c r="D49" s="77"/>
      <c r="E49" s="77"/>
      <c r="F49" s="77" t="s">
        <v>94</v>
      </c>
      <c r="G49" s="51">
        <v>40000</v>
      </c>
      <c r="H49" s="51">
        <v>40000</v>
      </c>
      <c r="I49" s="51">
        <f>ROUND((G49-H49),5)</f>
        <v>0</v>
      </c>
      <c r="J49" s="141">
        <f>ROUND(IF(G49=0, IF(H49=0, 0, SIGN(-H49)), IF(H49=0, SIGN(G49), (G49-H49)/ABS(H49))),5)</f>
        <v>0</v>
      </c>
    </row>
    <row r="50" spans="1:10" x14ac:dyDescent="0.25">
      <c r="A50" s="77"/>
      <c r="B50" s="77"/>
      <c r="C50" s="77"/>
      <c r="D50" s="77"/>
      <c r="E50" s="77"/>
      <c r="F50" s="77" t="s">
        <v>7718</v>
      </c>
      <c r="G50" s="51">
        <v>14918.5</v>
      </c>
      <c r="H50" s="51">
        <v>0</v>
      </c>
      <c r="I50" s="51">
        <f>ROUND((G50-H50),5)</f>
        <v>14918.5</v>
      </c>
      <c r="J50" s="141">
        <f>ROUND(IF(G50=0, IF(H50=0, 0, SIGN(-H50)), IF(H50=0, SIGN(G50), (G50-H50)/ABS(H50))),5)</f>
        <v>1</v>
      </c>
    </row>
    <row r="51" spans="1:10" x14ac:dyDescent="0.25">
      <c r="A51" s="77"/>
      <c r="B51" s="77"/>
      <c r="C51" s="77"/>
      <c r="D51" s="77"/>
      <c r="E51" s="77"/>
      <c r="F51" s="77" t="s">
        <v>95</v>
      </c>
      <c r="G51" s="51">
        <v>67775.03</v>
      </c>
      <c r="H51" s="51">
        <v>67775.03</v>
      </c>
      <c r="I51" s="51">
        <f>ROUND((G51-H51),5)</f>
        <v>0</v>
      </c>
      <c r="J51" s="141">
        <f>ROUND(IF(G51=0, IF(H51=0, 0, SIGN(-H51)), IF(H51=0, SIGN(G51), (G51-H51)/ABS(H51))),5)</f>
        <v>0</v>
      </c>
    </row>
    <row r="52" spans="1:10" x14ac:dyDescent="0.25">
      <c r="A52" s="77"/>
      <c r="B52" s="77"/>
      <c r="C52" s="77"/>
      <c r="D52" s="77"/>
      <c r="E52" s="77"/>
      <c r="F52" s="77" t="s">
        <v>88</v>
      </c>
      <c r="G52" s="51">
        <v>0</v>
      </c>
      <c r="H52" s="51">
        <v>4437.7299999999996</v>
      </c>
      <c r="I52" s="51">
        <f>ROUND((G52-H52),5)</f>
        <v>-4437.7299999999996</v>
      </c>
      <c r="J52" s="141">
        <f>ROUND(IF(G52=0, IF(H52=0, 0, SIGN(-H52)), IF(H52=0, SIGN(G52), (G52-H52)/ABS(H52))),5)</f>
        <v>-1</v>
      </c>
    </row>
    <row r="53" spans="1:10" ht="15.75" thickBot="1" x14ac:dyDescent="0.3">
      <c r="A53" s="77"/>
      <c r="B53" s="77"/>
      <c r="C53" s="77"/>
      <c r="D53" s="77"/>
      <c r="E53" s="77"/>
      <c r="F53" s="77" t="s">
        <v>7815</v>
      </c>
      <c r="G53" s="52">
        <v>6200</v>
      </c>
      <c r="H53" s="52">
        <v>0</v>
      </c>
      <c r="I53" s="52">
        <f>ROUND((G53-H53),5)</f>
        <v>6200</v>
      </c>
      <c r="J53" s="143">
        <f>ROUND(IF(G53=0, IF(H53=0, 0, SIGN(-H53)), IF(H53=0, SIGN(G53), (G53-H53)/ABS(H53))),5)</f>
        <v>1</v>
      </c>
    </row>
    <row r="54" spans="1:10" x14ac:dyDescent="0.25">
      <c r="A54" s="77"/>
      <c r="B54" s="77"/>
      <c r="C54" s="77"/>
      <c r="D54" s="77"/>
      <c r="E54" s="77" t="s">
        <v>96</v>
      </c>
      <c r="F54" s="77"/>
      <c r="G54" s="51">
        <f>ROUND(SUM(G46:G53),5)</f>
        <v>474143.5</v>
      </c>
      <c r="H54" s="51">
        <f>ROUND(SUM(H46:H53),5)</f>
        <v>112212.76</v>
      </c>
      <c r="I54" s="51">
        <f>ROUND((G54-H54),5)</f>
        <v>361930.74</v>
      </c>
      <c r="J54" s="141">
        <f>ROUND(IF(G54=0, IF(H54=0, 0, SIGN(-H54)), IF(H54=0, SIGN(G54), (G54-H54)/ABS(H54))),5)</f>
        <v>3.2254</v>
      </c>
    </row>
    <row r="55" spans="1:10" ht="15.75" thickBot="1" x14ac:dyDescent="0.3">
      <c r="A55" s="77"/>
      <c r="B55" s="77"/>
      <c r="C55" s="77"/>
      <c r="D55" s="77"/>
      <c r="E55" s="77" t="s">
        <v>7695</v>
      </c>
      <c r="F55" s="77"/>
      <c r="G55" s="51">
        <v>300</v>
      </c>
      <c r="H55" s="51">
        <v>720.02</v>
      </c>
      <c r="I55" s="51">
        <f>ROUND((G55-H55),5)</f>
        <v>-420.02</v>
      </c>
      <c r="J55" s="141">
        <f>ROUND(IF(G55=0, IF(H55=0, 0, SIGN(-H55)), IF(H55=0, SIGN(G55), (G55-H55)/ABS(H55))),5)</f>
        <v>-0.58333999999999997</v>
      </c>
    </row>
    <row r="56" spans="1:10" ht="15.75" thickBot="1" x14ac:dyDescent="0.3">
      <c r="A56" s="77"/>
      <c r="B56" s="77"/>
      <c r="C56" s="77"/>
      <c r="D56" s="77" t="s">
        <v>97</v>
      </c>
      <c r="E56" s="77"/>
      <c r="F56" s="77"/>
      <c r="G56" s="89">
        <f>ROUND(SUM(G44:G45)+SUM(G54:G55),5)</f>
        <v>474443.5</v>
      </c>
      <c r="H56" s="89">
        <f>ROUND(SUM(H44:H45)+SUM(H54:H55),5)</f>
        <v>225632.78</v>
      </c>
      <c r="I56" s="89">
        <f>ROUND((G56-H56),5)</f>
        <v>248810.72</v>
      </c>
      <c r="J56" s="140">
        <f>ROUND(IF(G56=0, IF(H56=0, 0, SIGN(-H56)), IF(H56=0, SIGN(G56), (G56-H56)/ABS(H56))),5)</f>
        <v>1.1027199999999999</v>
      </c>
    </row>
    <row r="57" spans="1:10" ht="15.75" thickBot="1" x14ac:dyDescent="0.3">
      <c r="A57" s="77"/>
      <c r="B57" s="77"/>
      <c r="C57" s="77" t="s">
        <v>64</v>
      </c>
      <c r="D57" s="77"/>
      <c r="E57" s="77"/>
      <c r="F57" s="77"/>
      <c r="G57" s="54">
        <f>ROUND(G40+G43+G56,5)</f>
        <v>552786.75</v>
      </c>
      <c r="H57" s="54">
        <f>ROUND(H40+H43+H56,5)</f>
        <v>309733.44</v>
      </c>
      <c r="I57" s="54">
        <f>ROUND((G57-H57),5)</f>
        <v>243053.31</v>
      </c>
      <c r="J57" s="142">
        <f>ROUND(IF(G57=0, IF(H57=0, 0, SIGN(-H57)), IF(H57=0, SIGN(G57), (G57-H57)/ABS(H57))),5)</f>
        <v>0.78471999999999997</v>
      </c>
    </row>
    <row r="58" spans="1:10" x14ac:dyDescent="0.25">
      <c r="A58" s="77"/>
      <c r="B58" s="77" t="s">
        <v>65</v>
      </c>
      <c r="C58" s="77"/>
      <c r="D58" s="77"/>
      <c r="E58" s="77"/>
      <c r="F58" s="77"/>
      <c r="G58" s="51">
        <f>ROUND(G39+G57,5)</f>
        <v>552786.75</v>
      </c>
      <c r="H58" s="51">
        <f>ROUND(H39+H57,5)</f>
        <v>309733.44</v>
      </c>
      <c r="I58" s="51">
        <f>ROUND((G58-H58),5)</f>
        <v>243053.31</v>
      </c>
      <c r="J58" s="141">
        <f>ROUND(IF(G58=0, IF(H58=0, 0, SIGN(-H58)), IF(H58=0, SIGN(G58), (G58-H58)/ABS(H58))),5)</f>
        <v>0.78471999999999997</v>
      </c>
    </row>
    <row r="59" spans="1:10" x14ac:dyDescent="0.25">
      <c r="A59" s="77"/>
      <c r="B59" s="77" t="s">
        <v>66</v>
      </c>
      <c r="C59" s="77"/>
      <c r="D59" s="77"/>
      <c r="E59" s="77"/>
      <c r="F59" s="77"/>
      <c r="G59" s="51"/>
      <c r="H59" s="51"/>
      <c r="I59" s="51"/>
      <c r="J59" s="141"/>
    </row>
    <row r="60" spans="1:10" x14ac:dyDescent="0.25">
      <c r="A60" s="77"/>
      <c r="B60" s="77"/>
      <c r="C60" s="77" t="s">
        <v>98</v>
      </c>
      <c r="D60" s="77"/>
      <c r="E60" s="77"/>
      <c r="F60" s="77"/>
      <c r="G60" s="51">
        <v>168597.13</v>
      </c>
      <c r="H60" s="51">
        <v>168597.13</v>
      </c>
      <c r="I60" s="51">
        <f>ROUND((G60-H60),5)</f>
        <v>0</v>
      </c>
      <c r="J60" s="141">
        <f>ROUND(IF(G60=0, IF(H60=0, 0, SIGN(-H60)), IF(H60=0, SIGN(G60), (G60-H60)/ABS(H60))),5)</f>
        <v>0</v>
      </c>
    </row>
    <row r="61" spans="1:10" x14ac:dyDescent="0.25">
      <c r="A61" s="77"/>
      <c r="B61" s="77"/>
      <c r="C61" s="77" t="s">
        <v>99</v>
      </c>
      <c r="D61" s="77"/>
      <c r="E61" s="77"/>
      <c r="F61" s="77"/>
      <c r="G61" s="51">
        <v>1025351.02</v>
      </c>
      <c r="H61" s="51">
        <v>817695.88</v>
      </c>
      <c r="I61" s="51">
        <f>ROUND((G61-H61),5)</f>
        <v>207655.14</v>
      </c>
      <c r="J61" s="141">
        <f>ROUND(IF(G61=0, IF(H61=0, 0, SIGN(-H61)), IF(H61=0, SIGN(G61), (G61-H61)/ABS(H61))),5)</f>
        <v>0.25395000000000001</v>
      </c>
    </row>
    <row r="62" spans="1:10" ht="15.75" thickBot="1" x14ac:dyDescent="0.3">
      <c r="A62" s="77"/>
      <c r="B62" s="77"/>
      <c r="C62" s="77" t="s">
        <v>49</v>
      </c>
      <c r="D62" s="77"/>
      <c r="E62" s="77"/>
      <c r="F62" s="77"/>
      <c r="G62" s="51">
        <v>-30280.42</v>
      </c>
      <c r="H62" s="51">
        <v>-10486.37</v>
      </c>
      <c r="I62" s="51">
        <f>ROUND((G62-H62),5)</f>
        <v>-19794.05</v>
      </c>
      <c r="J62" s="141">
        <f>ROUND(IF(G62=0, IF(H62=0, 0, SIGN(-H62)), IF(H62=0, SIGN(G62), (G62-H62)/ABS(H62))),5)</f>
        <v>-1.8875999999999999</v>
      </c>
    </row>
    <row r="63" spans="1:10" ht="15.75" thickBot="1" x14ac:dyDescent="0.3">
      <c r="A63" s="77"/>
      <c r="B63" s="77" t="s">
        <v>100</v>
      </c>
      <c r="C63" s="77"/>
      <c r="D63" s="77"/>
      <c r="E63" s="77"/>
      <c r="F63" s="77"/>
      <c r="G63" s="89">
        <f>ROUND(SUM(G59:G62),5)</f>
        <v>1163667.73</v>
      </c>
      <c r="H63" s="89">
        <f>ROUND(SUM(H59:H62),5)</f>
        <v>975806.64</v>
      </c>
      <c r="I63" s="89">
        <f>ROUND((G63-H63),5)</f>
        <v>187861.09</v>
      </c>
      <c r="J63" s="140">
        <f>ROUND(IF(G63=0, IF(H63=0, 0, SIGN(-H63)), IF(H63=0, SIGN(G63), (G63-H63)/ABS(H63))),5)</f>
        <v>0.19252</v>
      </c>
    </row>
    <row r="64" spans="1:10" s="2" customFormat="1" ht="12" thickBot="1" x14ac:dyDescent="0.25">
      <c r="A64" s="77" t="s">
        <v>67</v>
      </c>
      <c r="B64" s="77"/>
      <c r="C64" s="77"/>
      <c r="D64" s="77"/>
      <c r="E64" s="77"/>
      <c r="F64" s="77"/>
      <c r="G64" s="55">
        <f>ROUND(G38+G58+G63,5)</f>
        <v>1716454.48</v>
      </c>
      <c r="H64" s="55">
        <f>ROUND(H38+H58+H63,5)</f>
        <v>1285540.08</v>
      </c>
      <c r="I64" s="55">
        <f>ROUND((G64-H64),5)</f>
        <v>430914.4</v>
      </c>
      <c r="J64" s="139">
        <f>ROUND(IF(G64=0, IF(H64=0, 0, SIGN(-H64)), IF(H64=0, SIGN(G64), (G64-H64)/ABS(H64))),5)</f>
        <v>0.3352</v>
      </c>
    </row>
    <row r="65" ht="15.75" thickTop="1" x14ac:dyDescent="0.25"/>
  </sheetData>
  <hyperlinks>
    <hyperlink ref="K2" location="Contents!A1" display="Contents" xr:uid="{A057E889-F8BE-4DB7-97CB-8BCA867D49FA}"/>
  </hyperlinks>
  <pageMargins left="0.7" right="0.7" top="0.75" bottom="0.75" header="0.1" footer="0.3"/>
  <pageSetup scale="61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3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8" r:id="rId4" name="TextBox6"/>
      </mc:Fallback>
    </mc:AlternateContent>
    <mc:AlternateContent xmlns:mc="http://schemas.openxmlformats.org/markup-compatibility/2006">
      <mc:Choice Requires="x14">
        <control shapeId="6963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7" r:id="rId6" name="TextBox5"/>
      </mc:Fallback>
    </mc:AlternateContent>
    <mc:AlternateContent xmlns:mc="http://schemas.openxmlformats.org/markup-compatibility/2006">
      <mc:Choice Requires="x14">
        <control shapeId="6963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6" r:id="rId8" name="TextBox4"/>
      </mc:Fallback>
    </mc:AlternateContent>
    <mc:AlternateContent xmlns:mc="http://schemas.openxmlformats.org/markup-compatibility/2006">
      <mc:Choice Requires="x14">
        <control shapeId="6963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5" r:id="rId10" name="TextBox3"/>
      </mc:Fallback>
    </mc:AlternateContent>
    <mc:AlternateContent xmlns:mc="http://schemas.openxmlformats.org/markup-compatibility/2006">
      <mc:Choice Requires="x14">
        <control shapeId="69633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12" name="TextBox1"/>
      </mc:Fallback>
    </mc:AlternateContent>
    <mc:AlternateContent xmlns:mc="http://schemas.openxmlformats.org/markup-compatibility/2006">
      <mc:Choice Requires="x14">
        <control shapeId="69634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14" name="TextBox2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/>
  <dimension ref="A1:P47"/>
  <sheetViews>
    <sheetView zoomScale="172" zoomScaleNormal="172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I1" sqref="I1"/>
    </sheetView>
  </sheetViews>
  <sheetFormatPr defaultRowHeight="15" x14ac:dyDescent="0.25"/>
  <cols>
    <col min="1" max="6" width="3" style="2" customWidth="1"/>
    <col min="7" max="7" width="24.7109375" style="2" customWidth="1"/>
    <col min="8" max="8" width="11.42578125" style="75" customWidth="1"/>
    <col min="9" max="16384" width="9.140625" style="75"/>
  </cols>
  <sheetData>
    <row r="1" spans="1:9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7819</v>
      </c>
      <c r="I1" s="39" t="s">
        <v>224</v>
      </c>
    </row>
    <row r="2" spans="1:9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</row>
    <row r="3" spans="1:9" x14ac:dyDescent="0.25">
      <c r="A3" s="77"/>
      <c r="B3" s="77"/>
      <c r="C3" s="77"/>
      <c r="D3" s="77" t="s">
        <v>4</v>
      </c>
      <c r="E3" s="77"/>
      <c r="F3" s="77"/>
      <c r="G3" s="77"/>
      <c r="H3" s="83"/>
    </row>
    <row r="4" spans="1:9" x14ac:dyDescent="0.25">
      <c r="A4" s="77"/>
      <c r="B4" s="77"/>
      <c r="C4" s="77"/>
      <c r="D4" s="77"/>
      <c r="E4" s="77" t="s">
        <v>7710</v>
      </c>
      <c r="F4" s="77"/>
      <c r="G4" s="77"/>
      <c r="H4" s="51">
        <v>0.19</v>
      </c>
    </row>
    <row r="5" spans="1:9" x14ac:dyDescent="0.25">
      <c r="A5" s="77"/>
      <c r="B5" s="77"/>
      <c r="C5" s="77"/>
      <c r="D5" s="77"/>
      <c r="E5" s="77" t="s">
        <v>5</v>
      </c>
      <c r="F5" s="77"/>
      <c r="G5" s="77"/>
      <c r="H5" s="51"/>
    </row>
    <row r="6" spans="1:9" ht="15.75" thickBot="1" x14ac:dyDescent="0.3">
      <c r="A6" s="77"/>
      <c r="B6" s="77"/>
      <c r="C6" s="77"/>
      <c r="D6" s="77"/>
      <c r="E6" s="77"/>
      <c r="F6" s="77" t="s">
        <v>5224</v>
      </c>
      <c r="G6" s="77"/>
      <c r="H6" s="52">
        <v>3500</v>
      </c>
    </row>
    <row r="7" spans="1:9" x14ac:dyDescent="0.25">
      <c r="A7" s="77"/>
      <c r="B7" s="77"/>
      <c r="C7" s="77"/>
      <c r="D7" s="77"/>
      <c r="E7" s="77" t="s">
        <v>8</v>
      </c>
      <c r="F7" s="77"/>
      <c r="G7" s="77"/>
      <c r="H7" s="51">
        <f>ROUND(SUM(H5:H6),5)</f>
        <v>3500</v>
      </c>
    </row>
    <row r="8" spans="1:9" x14ac:dyDescent="0.25">
      <c r="A8" s="77"/>
      <c r="B8" s="77"/>
      <c r="C8" s="77"/>
      <c r="D8" s="77"/>
      <c r="E8" s="77" t="s">
        <v>9</v>
      </c>
      <c r="F8" s="77"/>
      <c r="G8" s="77"/>
      <c r="H8" s="51"/>
    </row>
    <row r="9" spans="1:9" x14ac:dyDescent="0.25">
      <c r="A9" s="77"/>
      <c r="B9" s="77"/>
      <c r="C9" s="77"/>
      <c r="D9" s="77"/>
      <c r="E9" s="77"/>
      <c r="F9" s="77" t="s">
        <v>10</v>
      </c>
      <c r="G9" s="77"/>
      <c r="H9" s="51">
        <v>42650.02</v>
      </c>
    </row>
    <row r="10" spans="1:9" x14ac:dyDescent="0.25">
      <c r="A10" s="77"/>
      <c r="B10" s="77"/>
      <c r="C10" s="77"/>
      <c r="D10" s="77"/>
      <c r="E10" s="77"/>
      <c r="F10" s="77" t="s">
        <v>7818</v>
      </c>
      <c r="G10" s="77"/>
      <c r="H10" s="51">
        <v>500</v>
      </c>
    </row>
    <row r="11" spans="1:9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20630</v>
      </c>
    </row>
    <row r="12" spans="1:9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ROUND(SUM(H8:H11),5)</f>
        <v>63780.02</v>
      </c>
    </row>
    <row r="13" spans="1:9" ht="15.75" thickBot="1" x14ac:dyDescent="0.3">
      <c r="A13" s="77"/>
      <c r="B13" s="77"/>
      <c r="C13" s="77"/>
      <c r="D13" s="77"/>
      <c r="E13" s="77" t="s">
        <v>13</v>
      </c>
      <c r="F13" s="77"/>
      <c r="G13" s="77"/>
      <c r="H13" s="51">
        <v>2059.23</v>
      </c>
    </row>
    <row r="14" spans="1:9" ht="15.75" thickBot="1" x14ac:dyDescent="0.3">
      <c r="A14" s="77"/>
      <c r="B14" s="77"/>
      <c r="C14" s="77"/>
      <c r="D14" s="77" t="s">
        <v>17</v>
      </c>
      <c r="E14" s="77"/>
      <c r="F14" s="77"/>
      <c r="G14" s="77"/>
      <c r="H14" s="54">
        <f>ROUND(SUM(H3:H4)+H7+SUM(H12:H13),5)</f>
        <v>69339.44</v>
      </c>
    </row>
    <row r="15" spans="1:9" x14ac:dyDescent="0.25">
      <c r="A15" s="77"/>
      <c r="B15" s="77"/>
      <c r="C15" s="77" t="s">
        <v>18</v>
      </c>
      <c r="D15" s="77"/>
      <c r="E15" s="77"/>
      <c r="F15" s="77"/>
      <c r="G15" s="77"/>
      <c r="H15" s="51">
        <f>H14</f>
        <v>69339.44</v>
      </c>
    </row>
    <row r="16" spans="1:9" x14ac:dyDescent="0.25">
      <c r="A16" s="77"/>
      <c r="B16" s="77"/>
      <c r="C16" s="77"/>
      <c r="D16" s="77" t="s">
        <v>19</v>
      </c>
      <c r="E16" s="77"/>
      <c r="F16" s="77"/>
      <c r="G16" s="77"/>
      <c r="H16" s="51"/>
    </row>
    <row r="17" spans="1:16" x14ac:dyDescent="0.25">
      <c r="A17" s="77"/>
      <c r="B17" s="77"/>
      <c r="C17" s="77"/>
      <c r="D17" s="77"/>
      <c r="E17" s="77" t="s">
        <v>20</v>
      </c>
      <c r="F17" s="77"/>
      <c r="G17" s="77"/>
      <c r="H17" s="51"/>
    </row>
    <row r="18" spans="1:16" x14ac:dyDescent="0.25">
      <c r="A18" s="77"/>
      <c r="B18" s="77"/>
      <c r="C18" s="77"/>
      <c r="D18" s="77"/>
      <c r="E18" s="77"/>
      <c r="F18" s="77" t="s">
        <v>21</v>
      </c>
      <c r="G18" s="77"/>
      <c r="H18" s="51">
        <v>11.14</v>
      </c>
    </row>
    <row r="19" spans="1:16" x14ac:dyDescent="0.25">
      <c r="A19" s="77"/>
      <c r="B19" s="77"/>
      <c r="C19" s="77"/>
      <c r="D19" s="77"/>
      <c r="E19" s="77"/>
      <c r="F19" s="77" t="s">
        <v>22</v>
      </c>
      <c r="G19" s="77"/>
      <c r="H19" s="51">
        <v>1945.73</v>
      </c>
    </row>
    <row r="20" spans="1:16" x14ac:dyDescent="0.25">
      <c r="A20" s="77"/>
      <c r="B20" s="77"/>
      <c r="C20" s="77"/>
      <c r="D20" s="77"/>
      <c r="E20" s="77"/>
      <c r="F20" s="77" t="s">
        <v>24</v>
      </c>
      <c r="G20" s="77"/>
      <c r="H20" s="51">
        <v>382.5</v>
      </c>
    </row>
    <row r="21" spans="1:16" x14ac:dyDescent="0.25">
      <c r="A21" s="77"/>
      <c r="B21" s="77"/>
      <c r="C21" s="77"/>
      <c r="D21" s="77"/>
      <c r="E21" s="77"/>
      <c r="F21" s="77" t="s">
        <v>25</v>
      </c>
      <c r="G21" s="77"/>
      <c r="H21" s="51"/>
    </row>
    <row r="22" spans="1:16" x14ac:dyDescent="0.25">
      <c r="A22" s="77"/>
      <c r="B22" s="77"/>
      <c r="C22" s="77"/>
      <c r="D22" s="77"/>
      <c r="E22" s="77"/>
      <c r="F22" s="77"/>
      <c r="G22" s="77" t="s">
        <v>26</v>
      </c>
      <c r="H22" s="51">
        <v>507.08</v>
      </c>
    </row>
    <row r="23" spans="1:16" ht="15.75" thickBot="1" x14ac:dyDescent="0.3">
      <c r="A23" s="77"/>
      <c r="B23" s="77"/>
      <c r="C23" s="77"/>
      <c r="D23" s="77"/>
      <c r="E23" s="77"/>
      <c r="F23" s="77"/>
      <c r="G23" s="77" t="s">
        <v>7525</v>
      </c>
      <c r="H23" s="52">
        <v>208.33</v>
      </c>
    </row>
    <row r="24" spans="1:16" x14ac:dyDescent="0.25">
      <c r="A24" s="77"/>
      <c r="B24" s="77"/>
      <c r="C24" s="77"/>
      <c r="D24" s="77"/>
      <c r="E24" s="77"/>
      <c r="F24" s="77" t="s">
        <v>27</v>
      </c>
      <c r="G24" s="77"/>
      <c r="H24" s="51">
        <f>ROUND(SUM(H21:H23),5)</f>
        <v>715.41</v>
      </c>
    </row>
    <row r="25" spans="1:16" x14ac:dyDescent="0.25">
      <c r="A25" s="77"/>
      <c r="B25" s="77"/>
      <c r="C25" s="77"/>
      <c r="D25" s="77"/>
      <c r="E25" s="77"/>
      <c r="F25" s="77" t="s">
        <v>28</v>
      </c>
      <c r="G25" s="77"/>
      <c r="H25" s="51">
        <v>1139.1099999999999</v>
      </c>
    </row>
    <row r="26" spans="1:16" x14ac:dyDescent="0.25">
      <c r="A26" s="77"/>
      <c r="B26" s="77"/>
      <c r="C26" s="77"/>
      <c r="D26" s="77"/>
      <c r="E26" s="77"/>
      <c r="F26" s="77" t="s">
        <v>7436</v>
      </c>
      <c r="G26" s="77"/>
      <c r="H26" s="51">
        <f>14250-8500</f>
        <v>5750</v>
      </c>
    </row>
    <row r="27" spans="1:16" x14ac:dyDescent="0.25">
      <c r="A27" s="77"/>
      <c r="B27" s="77"/>
      <c r="C27" s="77"/>
      <c r="D27" s="77"/>
      <c r="E27" s="77"/>
      <c r="F27" s="77" t="s">
        <v>29</v>
      </c>
      <c r="G27" s="77"/>
      <c r="H27" s="51"/>
    </row>
    <row r="28" spans="1:16" x14ac:dyDescent="0.25">
      <c r="A28" s="77"/>
      <c r="B28" s="77"/>
      <c r="C28" s="77"/>
      <c r="D28" s="77"/>
      <c r="E28" s="77"/>
      <c r="F28" s="77"/>
      <c r="G28" s="77" t="s">
        <v>30</v>
      </c>
      <c r="H28" s="51">
        <v>1135.01</v>
      </c>
    </row>
    <row r="29" spans="1:16" ht="15.75" thickBot="1" x14ac:dyDescent="0.3">
      <c r="A29" s="77"/>
      <c r="B29" s="77"/>
      <c r="C29" s="77"/>
      <c r="D29" s="77"/>
      <c r="E29" s="77"/>
      <c r="F29" s="77"/>
      <c r="G29" s="77" t="s">
        <v>7467</v>
      </c>
      <c r="H29" s="51">
        <v>140</v>
      </c>
    </row>
    <row r="30" spans="1:16" ht="15.75" thickBot="1" x14ac:dyDescent="0.3">
      <c r="A30" s="77"/>
      <c r="B30" s="77"/>
      <c r="C30" s="77"/>
      <c r="D30" s="77"/>
      <c r="E30" s="77"/>
      <c r="F30" s="77" t="s">
        <v>31</v>
      </c>
      <c r="G30" s="77"/>
      <c r="H30" s="54">
        <f>ROUND(SUM(H27:H29),5)</f>
        <v>1275.01</v>
      </c>
    </row>
    <row r="31" spans="1:16" x14ac:dyDescent="0.25">
      <c r="A31" s="77"/>
      <c r="B31" s="77"/>
      <c r="C31" s="77"/>
      <c r="D31" s="77"/>
      <c r="E31" s="77" t="s">
        <v>32</v>
      </c>
      <c r="F31" s="77"/>
      <c r="G31" s="77"/>
      <c r="H31" s="51">
        <f>ROUND(SUM(H17:H20)+SUM(H24:H26)+H30,5)</f>
        <v>11218.9</v>
      </c>
    </row>
    <row r="32" spans="1:16" x14ac:dyDescent="0.25">
      <c r="A32" s="77"/>
      <c r="B32" s="77"/>
      <c r="C32" s="77"/>
      <c r="D32" s="77"/>
      <c r="E32" s="77" t="s">
        <v>36</v>
      </c>
      <c r="F32" s="77"/>
      <c r="G32" s="77"/>
      <c r="H32" s="51">
        <f>6804.87-2550.37</f>
        <v>4254.5</v>
      </c>
      <c r="L32" s="75" t="s">
        <v>7821</v>
      </c>
      <c r="N32" s="58">
        <v>0.22231677883718848</v>
      </c>
      <c r="O32" s="43">
        <f>$H$37*N32</f>
        <v>15178.853705364323</v>
      </c>
      <c r="P32" s="43"/>
    </row>
    <row r="33" spans="1:16" x14ac:dyDescent="0.25">
      <c r="A33" s="77"/>
      <c r="B33" s="77"/>
      <c r="C33" s="77"/>
      <c r="D33" s="77"/>
      <c r="E33" s="77" t="s">
        <v>39</v>
      </c>
      <c r="F33" s="77"/>
      <c r="G33" s="77"/>
      <c r="H33" s="51"/>
      <c r="L33" s="75" t="s">
        <v>7460</v>
      </c>
      <c r="N33" s="58">
        <v>0.22384322220756409</v>
      </c>
      <c r="O33" s="43">
        <f t="shared" ref="O33:O39" si="0">$H$37*N33</f>
        <v>15283.072832366981</v>
      </c>
      <c r="P33" s="43"/>
    </row>
    <row r="34" spans="1:16" x14ac:dyDescent="0.25">
      <c r="A34" s="77"/>
      <c r="B34" s="77"/>
      <c r="C34" s="77"/>
      <c r="D34" s="77"/>
      <c r="E34" s="77"/>
      <c r="F34" s="77" t="s">
        <v>40</v>
      </c>
      <c r="G34" s="77"/>
      <c r="H34" s="51">
        <v>49629.66</v>
      </c>
      <c r="L34" s="75" t="s">
        <v>232</v>
      </c>
      <c r="N34" s="58">
        <v>9.865101792954134E-2</v>
      </c>
      <c r="O34" s="43">
        <f t="shared" si="0"/>
        <v>6735.4761834435985</v>
      </c>
      <c r="P34" s="43"/>
    </row>
    <row r="35" spans="1:16" x14ac:dyDescent="0.25">
      <c r="A35" s="77"/>
      <c r="B35" s="77"/>
      <c r="C35" s="77"/>
      <c r="D35" s="77"/>
      <c r="E35" s="77"/>
      <c r="F35" s="77" t="s">
        <v>41</v>
      </c>
      <c r="G35" s="77"/>
      <c r="H35" s="51">
        <v>12931.11</v>
      </c>
      <c r="L35" s="75" t="s">
        <v>7462</v>
      </c>
      <c r="N35" s="58">
        <v>8.1190914499728761E-2</v>
      </c>
      <c r="O35" s="43">
        <f t="shared" si="0"/>
        <v>5543.3738282914355</v>
      </c>
      <c r="P35" s="43"/>
    </row>
    <row r="36" spans="1:16" ht="15.75" thickBot="1" x14ac:dyDescent="0.3">
      <c r="A36" s="77"/>
      <c r="B36" s="77"/>
      <c r="C36" s="77"/>
      <c r="D36" s="77"/>
      <c r="E36" s="77"/>
      <c r="F36" s="77" t="s">
        <v>7696</v>
      </c>
      <c r="G36" s="77"/>
      <c r="H36" s="52">
        <v>5715.02</v>
      </c>
      <c r="L36" s="75" t="s">
        <v>231</v>
      </c>
      <c r="N36" s="58">
        <v>5.5607492361867197E-2</v>
      </c>
      <c r="O36" s="43">
        <f t="shared" si="0"/>
        <v>3796.6454709254485</v>
      </c>
      <c r="P36" s="43"/>
    </row>
    <row r="37" spans="1:16" x14ac:dyDescent="0.25">
      <c r="A37" s="77"/>
      <c r="B37" s="77"/>
      <c r="C37" s="77"/>
      <c r="D37" s="77"/>
      <c r="E37" s="77" t="s">
        <v>42</v>
      </c>
      <c r="F37" s="77"/>
      <c r="G37" s="77"/>
      <c r="H37" s="51">
        <f>ROUND(SUM(H33:H36),5)</f>
        <v>68275.789999999994</v>
      </c>
      <c r="L37" s="75" t="s">
        <v>7463</v>
      </c>
      <c r="N37" s="58">
        <v>6.75906395225154E-2</v>
      </c>
      <c r="O37" s="43">
        <f t="shared" si="0"/>
        <v>4614.8043100049617</v>
      </c>
      <c r="P37" s="43"/>
    </row>
    <row r="38" spans="1:16" x14ac:dyDescent="0.25">
      <c r="A38" s="77"/>
      <c r="B38" s="77"/>
      <c r="C38" s="77"/>
      <c r="D38" s="77"/>
      <c r="E38" s="77" t="s">
        <v>43</v>
      </c>
      <c r="F38" s="77"/>
      <c r="G38" s="77"/>
      <c r="H38" s="51"/>
      <c r="L38" s="75" t="s">
        <v>7439</v>
      </c>
      <c r="N38" s="58">
        <v>0.16651261284579766</v>
      </c>
      <c r="O38" s="43">
        <f t="shared" si="0"/>
        <v>11368.780187010982</v>
      </c>
      <c r="P38" s="43"/>
    </row>
    <row r="39" spans="1:16" x14ac:dyDescent="0.25">
      <c r="A39" s="77"/>
      <c r="B39" s="77"/>
      <c r="C39" s="77"/>
      <c r="D39" s="77"/>
      <c r="E39" s="77"/>
      <c r="F39" s="77" t="s">
        <v>7713</v>
      </c>
      <c r="G39" s="77"/>
      <c r="H39" s="51">
        <v>1269.68</v>
      </c>
      <c r="L39" s="75" t="s">
        <v>201</v>
      </c>
      <c r="N39" s="58">
        <v>8.4287321795797204E-2</v>
      </c>
      <c r="O39" s="43">
        <f t="shared" si="0"/>
        <v>5754.7834825922719</v>
      </c>
      <c r="P39" s="43"/>
    </row>
    <row r="40" spans="1:16" x14ac:dyDescent="0.25">
      <c r="A40" s="77"/>
      <c r="B40" s="77"/>
      <c r="C40" s="77"/>
      <c r="D40" s="77"/>
      <c r="E40" s="77"/>
      <c r="F40" s="77" t="s">
        <v>7438</v>
      </c>
      <c r="G40" s="77"/>
      <c r="H40" s="51">
        <v>2001.99</v>
      </c>
      <c r="O40" s="43">
        <f>SUM(O32:O39)</f>
        <v>68275.790000000008</v>
      </c>
      <c r="P40" s="43"/>
    </row>
    <row r="41" spans="1:16" ht="15.75" thickBot="1" x14ac:dyDescent="0.3">
      <c r="A41" s="77"/>
      <c r="B41" s="77"/>
      <c r="C41" s="77"/>
      <c r="D41" s="77"/>
      <c r="E41" s="77"/>
      <c r="F41" s="77" t="s">
        <v>44</v>
      </c>
      <c r="G41" s="77"/>
      <c r="H41" s="52">
        <v>9000</v>
      </c>
      <c r="O41" s="43"/>
      <c r="P41" s="43"/>
    </row>
    <row r="42" spans="1:16" x14ac:dyDescent="0.25">
      <c r="A42" s="77"/>
      <c r="B42" s="77"/>
      <c r="C42" s="77"/>
      <c r="D42" s="77"/>
      <c r="E42" s="77" t="s">
        <v>45</v>
      </c>
      <c r="F42" s="77"/>
      <c r="G42" s="77"/>
      <c r="H42" s="51">
        <f>ROUND(SUM(H38:H41),5)</f>
        <v>12271.67</v>
      </c>
    </row>
    <row r="43" spans="1:16" ht="15.75" thickBot="1" x14ac:dyDescent="0.3">
      <c r="A43" s="77"/>
      <c r="B43" s="77"/>
      <c r="C43" s="77"/>
      <c r="D43" s="77"/>
      <c r="E43" s="77" t="s">
        <v>46</v>
      </c>
      <c r="F43" s="77"/>
      <c r="G43" s="77"/>
      <c r="H43" s="51">
        <v>3599</v>
      </c>
    </row>
    <row r="44" spans="1:16" ht="15.75" thickBot="1" x14ac:dyDescent="0.3">
      <c r="A44" s="77"/>
      <c r="B44" s="77"/>
      <c r="C44" s="77"/>
      <c r="D44" s="77" t="s">
        <v>47</v>
      </c>
      <c r="E44" s="77"/>
      <c r="F44" s="77"/>
      <c r="G44" s="77"/>
      <c r="H44" s="89">
        <f>ROUND(H16+SUM(H31:H32)+H37+SUM(H42:H43),5)</f>
        <v>99619.86</v>
      </c>
    </row>
    <row r="45" spans="1:16" ht="15.75" thickBot="1" x14ac:dyDescent="0.3">
      <c r="A45" s="77"/>
      <c r="B45" s="77" t="s">
        <v>48</v>
      </c>
      <c r="C45" s="77"/>
      <c r="D45" s="77"/>
      <c r="E45" s="77"/>
      <c r="F45" s="77"/>
      <c r="G45" s="77"/>
      <c r="H45" s="89">
        <f>ROUND(H2+H15-H44,5)</f>
        <v>-30280.42</v>
      </c>
    </row>
    <row r="46" spans="1:16" s="2" customFormat="1" ht="12" thickBot="1" x14ac:dyDescent="0.25">
      <c r="A46" s="77" t="s">
        <v>49</v>
      </c>
      <c r="B46" s="77"/>
      <c r="C46" s="77"/>
      <c r="D46" s="77"/>
      <c r="E46" s="77"/>
      <c r="F46" s="77"/>
      <c r="G46" s="77"/>
      <c r="H46" s="55">
        <f>H45</f>
        <v>-30280.42</v>
      </c>
    </row>
    <row r="47" spans="1:16" ht="15.75" thickTop="1" x14ac:dyDescent="0.25"/>
  </sheetData>
  <hyperlinks>
    <hyperlink ref="I1" location="Contents!A1" display="Contents" xr:uid="{42261AEA-1483-4C4B-AB36-83F438692058}"/>
  </hyperlink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87042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2" r:id="rId4" name="TextBox2"/>
      </mc:Fallback>
    </mc:AlternateContent>
    <mc:AlternateContent xmlns:mc="http://schemas.openxmlformats.org/markup-compatibility/2006">
      <mc:Choice Requires="x14">
        <control shapeId="87041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1" r:id="rId6" name="TextBox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P49"/>
  <sheetViews>
    <sheetView zoomScale="160" zoomScaleNormal="16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1" sqref="I1"/>
    </sheetView>
  </sheetViews>
  <sheetFormatPr defaultRowHeight="15" x14ac:dyDescent="0.25"/>
  <cols>
    <col min="1" max="6" width="3" style="2" customWidth="1"/>
    <col min="7" max="7" width="24.7109375" style="2" customWidth="1"/>
    <col min="8" max="8" width="12.5703125" style="75" customWidth="1"/>
    <col min="9" max="16384" width="9.140625" style="75"/>
  </cols>
  <sheetData>
    <row r="1" spans="1:9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7819</v>
      </c>
      <c r="I1" s="39" t="s">
        <v>224</v>
      </c>
    </row>
    <row r="2" spans="1:9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</row>
    <row r="3" spans="1:9" x14ac:dyDescent="0.25">
      <c r="A3" s="77"/>
      <c r="B3" s="77"/>
      <c r="C3" s="77"/>
      <c r="D3" s="77" t="s">
        <v>4</v>
      </c>
      <c r="E3" s="77"/>
      <c r="F3" s="77"/>
      <c r="G3" s="77"/>
      <c r="H3" s="51"/>
    </row>
    <row r="4" spans="1:9" x14ac:dyDescent="0.25">
      <c r="A4" s="77"/>
      <c r="B4" s="77"/>
      <c r="C4" s="77"/>
      <c r="D4" s="77"/>
      <c r="E4" s="77" t="s">
        <v>7710</v>
      </c>
      <c r="F4" s="77"/>
      <c r="G4" s="77"/>
      <c r="H4" s="51">
        <v>0.19</v>
      </c>
    </row>
    <row r="5" spans="1:9" x14ac:dyDescent="0.25">
      <c r="A5" s="77"/>
      <c r="B5" s="77"/>
      <c r="C5" s="77"/>
      <c r="D5" s="77"/>
      <c r="E5" s="77" t="s">
        <v>5</v>
      </c>
      <c r="F5" s="77"/>
      <c r="G5" s="77"/>
      <c r="H5" s="51"/>
    </row>
    <row r="6" spans="1:9" ht="15.75" thickBot="1" x14ac:dyDescent="0.3">
      <c r="A6" s="77"/>
      <c r="B6" s="77"/>
      <c r="C6" s="77"/>
      <c r="D6" s="77"/>
      <c r="E6" s="77"/>
      <c r="F6" s="77" t="s">
        <v>5224</v>
      </c>
      <c r="G6" s="77"/>
      <c r="H6" s="52">
        <v>3500</v>
      </c>
    </row>
    <row r="7" spans="1:9" x14ac:dyDescent="0.25">
      <c r="A7" s="77"/>
      <c r="B7" s="77"/>
      <c r="C7" s="77"/>
      <c r="D7" s="77"/>
      <c r="E7" s="77" t="s">
        <v>8</v>
      </c>
      <c r="F7" s="77"/>
      <c r="G7" s="77"/>
      <c r="H7" s="51">
        <f>ROUND(SUM(H5:H6),5)</f>
        <v>3500</v>
      </c>
    </row>
    <row r="8" spans="1:9" x14ac:dyDescent="0.25">
      <c r="A8" s="77"/>
      <c r="B8" s="77"/>
      <c r="C8" s="77"/>
      <c r="D8" s="77"/>
      <c r="E8" s="77" t="s">
        <v>9</v>
      </c>
      <c r="F8" s="77"/>
      <c r="G8" s="77"/>
      <c r="H8" s="51"/>
    </row>
    <row r="9" spans="1:9" x14ac:dyDescent="0.25">
      <c r="A9" s="77"/>
      <c r="B9" s="77"/>
      <c r="C9" s="77"/>
      <c r="D9" s="77"/>
      <c r="E9" s="77"/>
      <c r="F9" s="77" t="s">
        <v>10</v>
      </c>
      <c r="G9" s="77"/>
      <c r="H9" s="51">
        <v>42650.02</v>
      </c>
    </row>
    <row r="10" spans="1:9" x14ac:dyDescent="0.25">
      <c r="A10" s="77"/>
      <c r="B10" s="77"/>
      <c r="C10" s="77"/>
      <c r="D10" s="77"/>
      <c r="E10" s="77"/>
      <c r="F10" s="77" t="s">
        <v>7818</v>
      </c>
      <c r="G10" s="77"/>
      <c r="H10" s="51">
        <v>500</v>
      </c>
    </row>
    <row r="11" spans="1:9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20630</v>
      </c>
    </row>
    <row r="12" spans="1:9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ROUND(SUM(H8:H11),5)</f>
        <v>63780.02</v>
      </c>
    </row>
    <row r="13" spans="1:9" ht="15.75" thickBot="1" x14ac:dyDescent="0.3">
      <c r="A13" s="77"/>
      <c r="B13" s="77"/>
      <c r="C13" s="77"/>
      <c r="D13" s="77"/>
      <c r="E13" s="77" t="s">
        <v>13</v>
      </c>
      <c r="F13" s="77"/>
      <c r="G13" s="77"/>
      <c r="H13" s="51">
        <v>2059.23</v>
      </c>
    </row>
    <row r="14" spans="1:9" ht="15.75" thickBot="1" x14ac:dyDescent="0.3">
      <c r="A14" s="77"/>
      <c r="B14" s="77"/>
      <c r="C14" s="77"/>
      <c r="D14" s="77" t="s">
        <v>17</v>
      </c>
      <c r="E14" s="77"/>
      <c r="F14" s="77"/>
      <c r="G14" s="77"/>
      <c r="H14" s="54">
        <f>ROUND(SUM(H3:H4)+H7+SUM(H12:H13),5)</f>
        <v>69339.44</v>
      </c>
    </row>
    <row r="15" spans="1:9" x14ac:dyDescent="0.25">
      <c r="A15" s="77"/>
      <c r="B15" s="77"/>
      <c r="C15" s="77" t="s">
        <v>18</v>
      </c>
      <c r="D15" s="77"/>
      <c r="E15" s="77"/>
      <c r="F15" s="77"/>
      <c r="G15" s="77"/>
      <c r="H15" s="51">
        <f>H14</f>
        <v>69339.44</v>
      </c>
    </row>
    <row r="16" spans="1:9" x14ac:dyDescent="0.25">
      <c r="A16" s="77"/>
      <c r="B16" s="77"/>
      <c r="C16" s="77"/>
      <c r="D16" s="77" t="s">
        <v>19</v>
      </c>
      <c r="E16" s="77"/>
      <c r="F16" s="77"/>
      <c r="G16" s="77"/>
      <c r="H16" s="51"/>
    </row>
    <row r="17" spans="1:8" x14ac:dyDescent="0.25">
      <c r="A17" s="77"/>
      <c r="B17" s="77"/>
      <c r="C17" s="77"/>
      <c r="D17" s="77"/>
      <c r="E17" s="77" t="s">
        <v>20</v>
      </c>
      <c r="F17" s="77"/>
      <c r="G17" s="77"/>
      <c r="H17" s="51"/>
    </row>
    <row r="18" spans="1:8" x14ac:dyDescent="0.25">
      <c r="A18" s="77"/>
      <c r="B18" s="77"/>
      <c r="C18" s="77"/>
      <c r="D18" s="77"/>
      <c r="E18" s="77"/>
      <c r="F18" s="77" t="s">
        <v>21</v>
      </c>
      <c r="G18" s="77"/>
      <c r="H18" s="51">
        <v>11.14</v>
      </c>
    </row>
    <row r="19" spans="1:8" x14ac:dyDescent="0.25">
      <c r="A19" s="77"/>
      <c r="B19" s="77"/>
      <c r="C19" s="77"/>
      <c r="D19" s="77"/>
      <c r="E19" s="77"/>
      <c r="F19" s="77" t="s">
        <v>22</v>
      </c>
      <c r="G19" s="77"/>
      <c r="H19" s="51">
        <v>1945.73</v>
      </c>
    </row>
    <row r="20" spans="1:8" x14ac:dyDescent="0.25">
      <c r="A20" s="77"/>
      <c r="B20" s="77"/>
      <c r="C20" s="77"/>
      <c r="D20" s="77"/>
      <c r="E20" s="77"/>
      <c r="F20" s="77" t="s">
        <v>24</v>
      </c>
      <c r="G20" s="77"/>
      <c r="H20" s="51">
        <v>382.5</v>
      </c>
    </row>
    <row r="21" spans="1:8" x14ac:dyDescent="0.25">
      <c r="A21" s="77"/>
      <c r="B21" s="77"/>
      <c r="C21" s="77"/>
      <c r="D21" s="77"/>
      <c r="E21" s="77"/>
      <c r="F21" s="77" t="s">
        <v>25</v>
      </c>
      <c r="G21" s="77"/>
      <c r="H21" s="51"/>
    </row>
    <row r="22" spans="1:8" x14ac:dyDescent="0.25">
      <c r="A22" s="77"/>
      <c r="B22" s="77"/>
      <c r="C22" s="77"/>
      <c r="D22" s="77"/>
      <c r="E22" s="77"/>
      <c r="F22" s="77"/>
      <c r="G22" s="77" t="s">
        <v>26</v>
      </c>
      <c r="H22" s="51">
        <v>507.08</v>
      </c>
    </row>
    <row r="23" spans="1:8" ht="15.75" thickBot="1" x14ac:dyDescent="0.3">
      <c r="A23" s="77"/>
      <c r="B23" s="77"/>
      <c r="C23" s="77"/>
      <c r="D23" s="77"/>
      <c r="E23" s="77"/>
      <c r="F23" s="77"/>
      <c r="G23" s="77" t="s">
        <v>7525</v>
      </c>
      <c r="H23" s="52">
        <v>208.33</v>
      </c>
    </row>
    <row r="24" spans="1:8" x14ac:dyDescent="0.25">
      <c r="A24" s="77"/>
      <c r="B24" s="77"/>
      <c r="C24" s="77"/>
      <c r="D24" s="77"/>
      <c r="E24" s="77"/>
      <c r="F24" s="77" t="s">
        <v>27</v>
      </c>
      <c r="G24" s="77"/>
      <c r="H24" s="51">
        <f>ROUND(SUM(H21:H23),5)</f>
        <v>715.41</v>
      </c>
    </row>
    <row r="25" spans="1:8" x14ac:dyDescent="0.25">
      <c r="A25" s="77"/>
      <c r="B25" s="77"/>
      <c r="C25" s="77"/>
      <c r="D25" s="77"/>
      <c r="E25" s="77"/>
      <c r="F25" s="77" t="s">
        <v>28</v>
      </c>
      <c r="G25" s="77"/>
      <c r="H25" s="51">
        <v>1139.1099999999999</v>
      </c>
    </row>
    <row r="26" spans="1:8" x14ac:dyDescent="0.25">
      <c r="A26" s="77"/>
      <c r="B26" s="77"/>
      <c r="C26" s="77"/>
      <c r="D26" s="77"/>
      <c r="E26" s="77"/>
      <c r="F26" s="77" t="s">
        <v>7436</v>
      </c>
      <c r="G26" s="77"/>
      <c r="H26" s="51">
        <f>14250-8500</f>
        <v>5750</v>
      </c>
    </row>
    <row r="27" spans="1:8" x14ac:dyDescent="0.25">
      <c r="A27" s="77"/>
      <c r="B27" s="77"/>
      <c r="C27" s="77"/>
      <c r="D27" s="77"/>
      <c r="E27" s="77"/>
      <c r="F27" s="77" t="s">
        <v>29</v>
      </c>
      <c r="G27" s="77"/>
      <c r="H27" s="51"/>
    </row>
    <row r="28" spans="1:8" x14ac:dyDescent="0.25">
      <c r="A28" s="77"/>
      <c r="B28" s="77"/>
      <c r="C28" s="77"/>
      <c r="D28" s="77"/>
      <c r="E28" s="77"/>
      <c r="F28" s="77"/>
      <c r="G28" s="77" t="s">
        <v>30</v>
      </c>
      <c r="H28" s="51">
        <v>1135.01</v>
      </c>
    </row>
    <row r="29" spans="1:8" ht="15.75" thickBot="1" x14ac:dyDescent="0.3">
      <c r="A29" s="77"/>
      <c r="B29" s="77"/>
      <c r="C29" s="77"/>
      <c r="D29" s="77"/>
      <c r="E29" s="77"/>
      <c r="F29" s="77"/>
      <c r="G29" s="77" t="s">
        <v>7467</v>
      </c>
      <c r="H29" s="51">
        <v>140</v>
      </c>
    </row>
    <row r="30" spans="1:8" ht="15.75" thickBot="1" x14ac:dyDescent="0.3">
      <c r="A30" s="77"/>
      <c r="B30" s="77"/>
      <c r="C30" s="77"/>
      <c r="D30" s="77"/>
      <c r="E30" s="77"/>
      <c r="F30" s="77" t="s">
        <v>31</v>
      </c>
      <c r="G30" s="77"/>
      <c r="H30" s="54">
        <f>ROUND(SUM(H27:H29),5)</f>
        <v>1275.01</v>
      </c>
    </row>
    <row r="31" spans="1:8" x14ac:dyDescent="0.25">
      <c r="A31" s="77"/>
      <c r="B31" s="77"/>
      <c r="C31" s="77"/>
      <c r="D31" s="77"/>
      <c r="E31" s="77" t="s">
        <v>32</v>
      </c>
      <c r="F31" s="77"/>
      <c r="G31" s="77"/>
      <c r="H31" s="51">
        <f>ROUND(SUM(H17:H20)+SUM(H24:H26)+H30,5)</f>
        <v>11218.9</v>
      </c>
    </row>
    <row r="32" spans="1:8" x14ac:dyDescent="0.25">
      <c r="A32" s="77"/>
      <c r="B32" s="77"/>
      <c r="C32" s="77"/>
      <c r="D32" s="77"/>
      <c r="E32" s="77" t="s">
        <v>36</v>
      </c>
      <c r="F32" s="77"/>
      <c r="G32" s="77"/>
      <c r="H32" s="51">
        <f>6804.87-2550.37</f>
        <v>4254.5</v>
      </c>
    </row>
    <row r="33" spans="1:16" x14ac:dyDescent="0.25">
      <c r="A33" s="77"/>
      <c r="B33" s="77"/>
      <c r="C33" s="77"/>
      <c r="D33" s="77"/>
      <c r="E33" s="77" t="s">
        <v>39</v>
      </c>
      <c r="F33" s="77"/>
      <c r="G33" s="77"/>
      <c r="H33" s="51"/>
    </row>
    <row r="34" spans="1:16" x14ac:dyDescent="0.25">
      <c r="A34" s="77"/>
      <c r="B34" s="77"/>
      <c r="C34" s="77"/>
      <c r="D34" s="77"/>
      <c r="E34" s="77"/>
      <c r="F34" s="77" t="s">
        <v>40</v>
      </c>
      <c r="G34" s="77"/>
      <c r="H34" s="51">
        <v>49629.66</v>
      </c>
      <c r="L34" s="75" t="s">
        <v>7821</v>
      </c>
      <c r="N34" s="58">
        <v>0.22231677883718848</v>
      </c>
      <c r="O34" s="43">
        <f>$H$37*N34</f>
        <v>15178.853705364323</v>
      </c>
      <c r="P34" s="43"/>
    </row>
    <row r="35" spans="1:16" x14ac:dyDescent="0.25">
      <c r="A35" s="77"/>
      <c r="B35" s="77"/>
      <c r="C35" s="77"/>
      <c r="D35" s="77"/>
      <c r="E35" s="77"/>
      <c r="F35" s="77" t="s">
        <v>41</v>
      </c>
      <c r="G35" s="77"/>
      <c r="H35" s="51">
        <v>12931.11</v>
      </c>
      <c r="L35" s="75" t="s">
        <v>7460</v>
      </c>
      <c r="N35" s="58">
        <v>0.22384322220756409</v>
      </c>
      <c r="O35" s="43">
        <f t="shared" ref="O35:O41" si="0">$H$37*N35</f>
        <v>15283.072832366981</v>
      </c>
      <c r="P35" s="43"/>
    </row>
    <row r="36" spans="1:16" ht="15.75" thickBot="1" x14ac:dyDescent="0.3">
      <c r="A36" s="77"/>
      <c r="B36" s="77"/>
      <c r="C36" s="77"/>
      <c r="D36" s="77"/>
      <c r="E36" s="77"/>
      <c r="F36" s="77" t="s">
        <v>7696</v>
      </c>
      <c r="G36" s="77"/>
      <c r="H36" s="52">
        <v>5715.02</v>
      </c>
      <c r="L36" s="75" t="s">
        <v>232</v>
      </c>
      <c r="N36" s="58">
        <v>9.865101792954134E-2</v>
      </c>
      <c r="O36" s="43">
        <f t="shared" si="0"/>
        <v>6735.4761834435985</v>
      </c>
      <c r="P36" s="43"/>
    </row>
    <row r="37" spans="1:16" x14ac:dyDescent="0.25">
      <c r="A37" s="77"/>
      <c r="B37" s="77"/>
      <c r="C37" s="77"/>
      <c r="D37" s="77"/>
      <c r="E37" s="77" t="s">
        <v>42</v>
      </c>
      <c r="F37" s="77"/>
      <c r="G37" s="77"/>
      <c r="H37" s="51">
        <f>ROUND(SUM(H33:H36),5)</f>
        <v>68275.789999999994</v>
      </c>
      <c r="L37" s="75" t="s">
        <v>7462</v>
      </c>
      <c r="N37" s="58">
        <v>8.1190914499728761E-2</v>
      </c>
      <c r="O37" s="43">
        <f t="shared" si="0"/>
        <v>5543.3738282914355</v>
      </c>
      <c r="P37" s="43"/>
    </row>
    <row r="38" spans="1:16" x14ac:dyDescent="0.25">
      <c r="A38" s="77"/>
      <c r="B38" s="77"/>
      <c r="C38" s="77"/>
      <c r="D38" s="77"/>
      <c r="E38" s="77" t="s">
        <v>43</v>
      </c>
      <c r="F38" s="77"/>
      <c r="G38" s="77"/>
      <c r="H38" s="51"/>
      <c r="L38" s="75" t="s">
        <v>231</v>
      </c>
      <c r="N38" s="58">
        <v>5.5607492361867197E-2</v>
      </c>
      <c r="O38" s="43">
        <f t="shared" si="0"/>
        <v>3796.6454709254485</v>
      </c>
      <c r="P38" s="43"/>
    </row>
    <row r="39" spans="1:16" x14ac:dyDescent="0.25">
      <c r="A39" s="77"/>
      <c r="B39" s="77"/>
      <c r="C39" s="77"/>
      <c r="D39" s="77"/>
      <c r="E39" s="77"/>
      <c r="F39" s="77" t="s">
        <v>7713</v>
      </c>
      <c r="G39" s="77"/>
      <c r="H39" s="51">
        <v>1269.68</v>
      </c>
      <c r="L39" s="75" t="s">
        <v>7463</v>
      </c>
      <c r="N39" s="58">
        <v>6.75906395225154E-2</v>
      </c>
      <c r="O39" s="43">
        <f t="shared" si="0"/>
        <v>4614.8043100049617</v>
      </c>
      <c r="P39" s="43"/>
    </row>
    <row r="40" spans="1:16" x14ac:dyDescent="0.25">
      <c r="A40" s="77"/>
      <c r="B40" s="77"/>
      <c r="C40" s="77"/>
      <c r="D40" s="77"/>
      <c r="E40" s="77"/>
      <c r="F40" s="77" t="s">
        <v>7438</v>
      </c>
      <c r="G40" s="77"/>
      <c r="H40" s="51">
        <v>2001.99</v>
      </c>
      <c r="L40" s="75" t="s">
        <v>7439</v>
      </c>
      <c r="N40" s="58">
        <v>0.16651261284579766</v>
      </c>
      <c r="O40" s="43">
        <f t="shared" si="0"/>
        <v>11368.780187010982</v>
      </c>
      <c r="P40" s="43"/>
    </row>
    <row r="41" spans="1:16" ht="15.75" thickBot="1" x14ac:dyDescent="0.3">
      <c r="A41" s="77"/>
      <c r="B41" s="77"/>
      <c r="C41" s="77"/>
      <c r="D41" s="77"/>
      <c r="E41" s="77"/>
      <c r="F41" s="77" t="s">
        <v>44</v>
      </c>
      <c r="G41" s="77"/>
      <c r="H41" s="52">
        <v>9000</v>
      </c>
      <c r="L41" s="75" t="s">
        <v>201</v>
      </c>
      <c r="N41" s="58">
        <v>8.4287321795797204E-2</v>
      </c>
      <c r="O41" s="43">
        <f t="shared" si="0"/>
        <v>5754.7834825922719</v>
      </c>
      <c r="P41" s="43"/>
    </row>
    <row r="42" spans="1:16" x14ac:dyDescent="0.25">
      <c r="A42" s="77"/>
      <c r="B42" s="77"/>
      <c r="C42" s="77"/>
      <c r="D42" s="77"/>
      <c r="E42" s="77" t="s">
        <v>45</v>
      </c>
      <c r="F42" s="77"/>
      <c r="G42" s="77"/>
      <c r="H42" s="51">
        <f>ROUND(SUM(H38:H41),5)</f>
        <v>12271.67</v>
      </c>
      <c r="O42" s="43">
        <f>SUM(O34:O41)</f>
        <v>68275.790000000008</v>
      </c>
      <c r="P42" s="43"/>
    </row>
    <row r="43" spans="1:16" ht="15.75" thickBot="1" x14ac:dyDescent="0.3">
      <c r="A43" s="77"/>
      <c r="B43" s="77"/>
      <c r="C43" s="77"/>
      <c r="D43" s="77"/>
      <c r="E43" s="77" t="s">
        <v>46</v>
      </c>
      <c r="F43" s="77"/>
      <c r="G43" s="77"/>
      <c r="H43" s="51">
        <v>3599</v>
      </c>
    </row>
    <row r="44" spans="1:16" ht="15.75" thickBot="1" x14ac:dyDescent="0.3">
      <c r="A44" s="77"/>
      <c r="B44" s="77"/>
      <c r="C44" s="77"/>
      <c r="D44" s="77" t="s">
        <v>47</v>
      </c>
      <c r="E44" s="77"/>
      <c r="F44" s="77"/>
      <c r="G44" s="77"/>
      <c r="H44" s="89">
        <f>ROUND(H16+SUM(H31:H32)+H37+SUM(H42:H43),5)</f>
        <v>99619.86</v>
      </c>
    </row>
    <row r="45" spans="1:16" ht="15.75" thickBot="1" x14ac:dyDescent="0.3">
      <c r="A45" s="77"/>
      <c r="B45" s="77" t="s">
        <v>48</v>
      </c>
      <c r="C45" s="77"/>
      <c r="D45" s="77"/>
      <c r="E45" s="77"/>
      <c r="F45" s="77"/>
      <c r="G45" s="77"/>
      <c r="H45" s="89">
        <f>ROUND(H2+H15-H44,5)</f>
        <v>-30280.42</v>
      </c>
    </row>
    <row r="46" spans="1:16" s="2" customFormat="1" ht="12" thickBot="1" x14ac:dyDescent="0.25">
      <c r="A46" s="77" t="s">
        <v>49</v>
      </c>
      <c r="B46" s="77"/>
      <c r="C46" s="77"/>
      <c r="D46" s="77"/>
      <c r="E46" s="77"/>
      <c r="F46" s="77"/>
      <c r="G46" s="77"/>
      <c r="H46" s="55">
        <f>H45</f>
        <v>-30280.42</v>
      </c>
    </row>
    <row r="47" spans="1:16" ht="15.75" thickTop="1" x14ac:dyDescent="0.25">
      <c r="H47" s="43"/>
    </row>
    <row r="48" spans="1:16" x14ac:dyDescent="0.25">
      <c r="H48" s="43"/>
    </row>
    <row r="49" spans="8:8" x14ac:dyDescent="0.25">
      <c r="H49" s="43"/>
    </row>
  </sheetData>
  <hyperlinks>
    <hyperlink ref="I1" location="Contents!A1" display="Contents" xr:uid="{E4576198-FD84-49DB-A785-1E671A4B034E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7715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7714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7697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7713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7712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7711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7710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7709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7708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dimension ref="A1:P32"/>
  <sheetViews>
    <sheetView workbookViewId="0">
      <selection activeCell="K1" sqref="K1"/>
    </sheetView>
  </sheetViews>
  <sheetFormatPr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6.140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7814</v>
      </c>
      <c r="D1" s="37" t="s">
        <v>7836</v>
      </c>
      <c r="E1" s="38" t="s">
        <v>7813</v>
      </c>
      <c r="F1" s="38" t="s">
        <v>7813</v>
      </c>
      <c r="G1" s="146"/>
      <c r="H1" s="146"/>
      <c r="I1" s="146"/>
      <c r="J1" s="146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7837</v>
      </c>
      <c r="F2" s="38" t="s">
        <v>7839</v>
      </c>
      <c r="G2" s="38" t="s">
        <v>226</v>
      </c>
      <c r="H2" s="38" t="s">
        <v>7838</v>
      </c>
      <c r="I2" s="38" t="s">
        <v>7840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'Jan 22  P&amp;L'!H7</f>
        <v>3500</v>
      </c>
      <c r="F5" s="42">
        <v>0</v>
      </c>
      <c r="G5" s="42">
        <f>E5-F5</f>
        <v>3500</v>
      </c>
      <c r="H5" s="42">
        <f>E5</f>
        <v>3500</v>
      </c>
      <c r="I5" s="42">
        <f>F5</f>
        <v>0</v>
      </c>
      <c r="J5" s="42">
        <f>H5-I5</f>
        <v>3500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'Jan 22  P&amp;L'!H12</f>
        <v>63780.02</v>
      </c>
      <c r="F6" s="42">
        <f>'FY 22 Approved Bud monthly '!G30+'FY 22 Approved Bud monthly '!G31</f>
        <v>45833.333333333328</v>
      </c>
      <c r="G6" s="42">
        <f t="shared" ref="G6:G10" si="0">E6-F6</f>
        <v>17946.686666666668</v>
      </c>
      <c r="H6" s="42">
        <f t="shared" ref="H6:H10" si="1">E6</f>
        <v>63780.02</v>
      </c>
      <c r="I6" s="42">
        <f t="shared" ref="I6:I10" si="2">F6</f>
        <v>45833.333333333328</v>
      </c>
      <c r="J6" s="42">
        <f t="shared" ref="J6:J10" si="3">H6-I6</f>
        <v>17946.686666666668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v>0</v>
      </c>
      <c r="F7" s="42">
        <v>0</v>
      </c>
      <c r="G7" s="42">
        <f t="shared" si="0"/>
        <v>0</v>
      </c>
      <c r="H7" s="42">
        <f t="shared" si="1"/>
        <v>0</v>
      </c>
      <c r="I7" s="42">
        <f t="shared" si="2"/>
        <v>0</v>
      </c>
      <c r="J7" s="42">
        <f t="shared" si="3"/>
        <v>0</v>
      </c>
      <c r="K7" s="44"/>
    </row>
    <row r="8" spans="1:15" ht="15.75" x14ac:dyDescent="0.25">
      <c r="A8" s="36"/>
      <c r="B8" s="36"/>
      <c r="C8" s="36"/>
      <c r="D8" s="36" t="s">
        <v>13</v>
      </c>
      <c r="E8" s="42">
        <f>'Jan 22  P&amp;L'!H13</f>
        <v>2059.23</v>
      </c>
      <c r="F8" s="42">
        <f>'FY 22 Approved Bud monthly '!G33+'FY 22 Approved Bud monthly '!G34</f>
        <v>6666.666666666667</v>
      </c>
      <c r="G8" s="42">
        <f t="shared" si="0"/>
        <v>-4607.4366666666665</v>
      </c>
      <c r="H8" s="42">
        <f t="shared" si="1"/>
        <v>2059.23</v>
      </c>
      <c r="I8" s="42">
        <f t="shared" si="2"/>
        <v>6666.666666666667</v>
      </c>
      <c r="J8" s="42">
        <f t="shared" si="3"/>
        <v>-4607.4366666666665</v>
      </c>
      <c r="K8" s="44"/>
    </row>
    <row r="9" spans="1:15" ht="15.75" x14ac:dyDescent="0.25">
      <c r="A9" s="36"/>
      <c r="B9" s="36"/>
      <c r="C9" s="36"/>
      <c r="D9" s="36" t="s">
        <v>236</v>
      </c>
      <c r="E9" s="42">
        <v>0</v>
      </c>
      <c r="F9" s="42"/>
      <c r="G9" s="42">
        <f t="shared" si="0"/>
        <v>0</v>
      </c>
      <c r="H9" s="42">
        <f t="shared" si="1"/>
        <v>0</v>
      </c>
      <c r="I9" s="42">
        <f t="shared" si="2"/>
        <v>0</v>
      </c>
      <c r="J9" s="42">
        <f t="shared" si="3"/>
        <v>0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v>0</v>
      </c>
      <c r="F10" s="45"/>
      <c r="G10" s="45">
        <f t="shared" si="0"/>
        <v>0</v>
      </c>
      <c r="H10" s="45">
        <f t="shared" si="1"/>
        <v>0</v>
      </c>
      <c r="I10" s="45">
        <f t="shared" si="2"/>
        <v>0</v>
      </c>
      <c r="J10" s="45">
        <f t="shared" si="3"/>
        <v>0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4">SUM(E5:E10)</f>
        <v>69339.249999999985</v>
      </c>
      <c r="F11" s="46">
        <f t="shared" si="4"/>
        <v>52499.999999999993</v>
      </c>
      <c r="G11" s="46">
        <f t="shared" si="4"/>
        <v>16839.25</v>
      </c>
      <c r="H11" s="46">
        <f t="shared" si="4"/>
        <v>69339.249999999985</v>
      </c>
      <c r="I11" s="46">
        <f t="shared" si="4"/>
        <v>52499.999999999993</v>
      </c>
      <c r="J11" s="46">
        <f t="shared" si="4"/>
        <v>16839.25</v>
      </c>
      <c r="K11" s="44">
        <f>'[5]YTD Combined'!J38-'[5]Board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49" t="s">
        <v>230</v>
      </c>
      <c r="E13" s="42">
        <f>'Jan 22  P&amp;L'!H43+'Jan 22  P&amp;L'!O33+('Jan 22  P&amp;L'!H26*0.5)</f>
        <v>21757.072832366983</v>
      </c>
      <c r="F13" s="42">
        <f>SUM('FY 22 Approved Bud monthly '!G57:G66)</f>
        <v>21817.789199999999</v>
      </c>
      <c r="G13" s="42">
        <f>E13-F13</f>
        <v>-60.716367633016489</v>
      </c>
      <c r="H13" s="42">
        <f>E13</f>
        <v>21757.072832366983</v>
      </c>
      <c r="I13" s="42">
        <f>F13</f>
        <v>21817.789199999999</v>
      </c>
      <c r="J13" s="42">
        <f t="shared" ref="J13:J20" si="5">H13-I13</f>
        <v>-60.716367633016489</v>
      </c>
      <c r="K13" s="44"/>
    </row>
    <row r="14" spans="1:15" ht="15.75" x14ac:dyDescent="0.25">
      <c r="A14" s="36"/>
      <c r="B14" s="36"/>
      <c r="C14" s="36"/>
      <c r="D14" s="49" t="s">
        <v>233</v>
      </c>
      <c r="E14" s="42">
        <f>'Jan 22  P&amp;L'!O32</f>
        <v>15178.853705364323</v>
      </c>
      <c r="F14" s="42">
        <f>SUM('FY 22 Approved Bud monthly '!G42:G54)</f>
        <v>15213.333333333334</v>
      </c>
      <c r="G14" s="42">
        <f>E14-F14</f>
        <v>-34.479627969010835</v>
      </c>
      <c r="H14" s="42">
        <f t="shared" ref="H14:H20" si="6">E14</f>
        <v>15178.853705364323</v>
      </c>
      <c r="I14" s="42">
        <f>F14</f>
        <v>15213.333333333334</v>
      </c>
      <c r="J14" s="42">
        <f t="shared" si="5"/>
        <v>-34.479627969010835</v>
      </c>
      <c r="K14" s="44"/>
    </row>
    <row r="15" spans="1:15" ht="15.75" x14ac:dyDescent="0.25">
      <c r="A15" s="36"/>
      <c r="B15" s="36"/>
      <c r="C15" s="36"/>
      <c r="D15" s="49" t="s">
        <v>162</v>
      </c>
      <c r="E15" s="42">
        <f>'Jan 22  P&amp;L'!O34+('Jan 22  P&amp;L'!H26*0.5)</f>
        <v>9610.4761834435994</v>
      </c>
      <c r="F15" s="42">
        <f>SUM('FY 22 Approved Bud monthly '!G69:G82)</f>
        <v>9000.7762000000002</v>
      </c>
      <c r="G15" s="42">
        <f>E15-F15</f>
        <v>609.69998344359919</v>
      </c>
      <c r="H15" s="42">
        <f t="shared" si="6"/>
        <v>9610.4761834435994</v>
      </c>
      <c r="I15" s="42">
        <f t="shared" ref="H15:I20" si="7">F15</f>
        <v>9000.7762000000002</v>
      </c>
      <c r="J15" s="42">
        <f t="shared" si="5"/>
        <v>609.69998344359919</v>
      </c>
      <c r="K15" s="44"/>
    </row>
    <row r="16" spans="1:15" ht="15.75" x14ac:dyDescent="0.25">
      <c r="A16" s="36"/>
      <c r="B16" s="36"/>
      <c r="C16" s="36"/>
      <c r="D16" s="49" t="s">
        <v>172</v>
      </c>
      <c r="E16" s="42">
        <f>'Jan 22  P&amp;L'!O35+'Jan 22  P&amp;L'!H32</f>
        <v>9797.8738282914346</v>
      </c>
      <c r="F16" s="42">
        <f>SUM('FY 22 Approved Bud monthly '!G85:G93)</f>
        <v>10555.965916666664</v>
      </c>
      <c r="G16" s="42">
        <f t="shared" ref="G16:G20" si="8">E16-F16</f>
        <v>-758.09208837522965</v>
      </c>
      <c r="H16" s="42">
        <f t="shared" si="6"/>
        <v>9797.8738282914346</v>
      </c>
      <c r="I16" s="42">
        <f t="shared" si="7"/>
        <v>10555.965916666664</v>
      </c>
      <c r="J16" s="42">
        <f t="shared" si="5"/>
        <v>-758.09208837522965</v>
      </c>
      <c r="K16" s="44"/>
    </row>
    <row r="17" spans="1:16" ht="15.75" x14ac:dyDescent="0.25">
      <c r="A17" s="36"/>
      <c r="B17" s="36"/>
      <c r="C17" s="36"/>
      <c r="D17" s="49" t="s">
        <v>177</v>
      </c>
      <c r="E17" s="42">
        <f>'Jan 22  P&amp;L'!O36</f>
        <v>3796.6454709254485</v>
      </c>
      <c r="F17" s="42">
        <f>SUM('FY 22 Approved Bud monthly '!G101)</f>
        <v>3805.2697666666659</v>
      </c>
      <c r="G17" s="42">
        <f t="shared" si="8"/>
        <v>-8.6242957412173382</v>
      </c>
      <c r="H17" s="42">
        <f t="shared" si="6"/>
        <v>3796.6454709254485</v>
      </c>
      <c r="I17" s="42">
        <f t="shared" si="7"/>
        <v>3805.2697666666659</v>
      </c>
      <c r="J17" s="42">
        <f t="shared" si="5"/>
        <v>-8.6242957412173382</v>
      </c>
      <c r="K17" s="44"/>
      <c r="L17" s="43"/>
      <c r="M17" s="43"/>
    </row>
    <row r="18" spans="1:16" ht="15.75" x14ac:dyDescent="0.25">
      <c r="A18" s="36"/>
      <c r="B18" s="36"/>
      <c r="C18" s="36"/>
      <c r="D18" s="49" t="s">
        <v>179</v>
      </c>
      <c r="E18" s="42">
        <f>'Jan 22  P&amp;L'!O37</f>
        <v>4614.8043100049617</v>
      </c>
      <c r="F18" s="42">
        <f>'FY 22 Approved Bud monthly '!G111</f>
        <v>4625.2871000000005</v>
      </c>
      <c r="G18" s="42">
        <f t="shared" si="8"/>
        <v>-10.482789995038729</v>
      </c>
      <c r="H18" s="42">
        <f t="shared" si="6"/>
        <v>4614.8043100049617</v>
      </c>
      <c r="I18" s="42">
        <f t="shared" si="7"/>
        <v>4625.2871000000005</v>
      </c>
      <c r="J18" s="42">
        <f t="shared" si="5"/>
        <v>-10.482789995038729</v>
      </c>
      <c r="K18" s="44"/>
      <c r="L18" s="43"/>
    </row>
    <row r="19" spans="1:16" ht="15.75" x14ac:dyDescent="0.25">
      <c r="A19" s="36"/>
      <c r="B19" s="36"/>
      <c r="C19" s="36"/>
      <c r="D19" s="49" t="s">
        <v>7841</v>
      </c>
      <c r="E19" s="42">
        <f>'Jan 22  P&amp;L'!O38+'Jan 22  P&amp;L'!H42+'Jan 22  P&amp;L'!H31-'Jan 22  P&amp;L'!H26</f>
        <v>29109.350187010983</v>
      </c>
      <c r="F19" s="42">
        <f>SUM('FY 22 Approved Bud monthly '!G116:G131)-F20</f>
        <v>29643.042516666665</v>
      </c>
      <c r="G19" s="42">
        <f t="shared" si="8"/>
        <v>-533.69232965568153</v>
      </c>
      <c r="H19" s="42">
        <f t="shared" si="6"/>
        <v>29109.350187010983</v>
      </c>
      <c r="I19" s="42">
        <f t="shared" si="7"/>
        <v>29643.042516666665</v>
      </c>
      <c r="J19" s="42">
        <f t="shared" si="5"/>
        <v>-533.69232965568153</v>
      </c>
      <c r="K19" s="44"/>
    </row>
    <row r="20" spans="1:16" ht="16.5" thickBot="1" x14ac:dyDescent="0.3">
      <c r="A20" s="36"/>
      <c r="B20" s="36"/>
      <c r="C20" s="36"/>
      <c r="D20" s="49" t="s">
        <v>201</v>
      </c>
      <c r="E20" s="42">
        <f>'Jan 22  P&amp;L'!O39</f>
        <v>5754.7834825922719</v>
      </c>
      <c r="F20" s="42">
        <f>'FY 22 Approved Bud monthly '!G124</f>
        <v>5767.8558000000003</v>
      </c>
      <c r="G20" s="42">
        <f t="shared" si="8"/>
        <v>-13.072317407728406</v>
      </c>
      <c r="H20" s="42">
        <f t="shared" si="6"/>
        <v>5754.7834825922719</v>
      </c>
      <c r="I20" s="42">
        <f t="shared" si="7"/>
        <v>5767.8558000000003</v>
      </c>
      <c r="J20" s="42">
        <f t="shared" si="5"/>
        <v>-13.072317407728406</v>
      </c>
      <c r="O20" s="43"/>
      <c r="P20" s="43"/>
    </row>
    <row r="21" spans="1:16" ht="16.5" thickBot="1" x14ac:dyDescent="0.3">
      <c r="A21" s="36"/>
      <c r="B21" s="36"/>
      <c r="C21" s="36" t="s">
        <v>47</v>
      </c>
      <c r="D21" s="36"/>
      <c r="E21" s="47">
        <f t="shared" ref="E21:J21" si="9">SUM(E13:E20)</f>
        <v>99619.86</v>
      </c>
      <c r="F21" s="47">
        <f t="shared" si="9"/>
        <v>100429.31983333334</v>
      </c>
      <c r="G21" s="47">
        <f t="shared" si="9"/>
        <v>-809.45983333332379</v>
      </c>
      <c r="H21" s="47">
        <f t="shared" si="9"/>
        <v>99619.86</v>
      </c>
      <c r="I21" s="47">
        <f t="shared" si="9"/>
        <v>100429.31983333334</v>
      </c>
      <c r="J21" s="147">
        <f t="shared" si="9"/>
        <v>-809.45983333332379</v>
      </c>
      <c r="K21" s="43"/>
      <c r="L21" s="43"/>
      <c r="O21" s="43"/>
      <c r="P21" s="43"/>
    </row>
    <row r="22" spans="1:16" ht="16.5" thickBot="1" x14ac:dyDescent="0.3">
      <c r="A22" s="36"/>
      <c r="B22" s="36" t="s">
        <v>48</v>
      </c>
      <c r="C22" s="36"/>
      <c r="D22" s="36"/>
      <c r="E22" s="47">
        <f t="shared" ref="E22:J22" si="10">E11-E21</f>
        <v>-30280.610000000015</v>
      </c>
      <c r="F22" s="47">
        <f t="shared" si="10"/>
        <v>-47929.319833333349</v>
      </c>
      <c r="G22" s="47">
        <f t="shared" si="10"/>
        <v>17648.709833333323</v>
      </c>
      <c r="H22" s="47">
        <f t="shared" si="10"/>
        <v>-30280.610000000015</v>
      </c>
      <c r="I22" s="47">
        <f t="shared" si="10"/>
        <v>-47929.319833333349</v>
      </c>
      <c r="J22" s="148">
        <f t="shared" si="10"/>
        <v>17648.709833333323</v>
      </c>
      <c r="P22" s="43"/>
    </row>
    <row r="23" spans="1:16" ht="16.5" thickBot="1" x14ac:dyDescent="0.3">
      <c r="A23" s="36" t="s">
        <v>49</v>
      </c>
      <c r="B23" s="36"/>
      <c r="C23" s="36"/>
      <c r="D23" s="36"/>
      <c r="E23" s="149">
        <f>E22</f>
        <v>-30280.610000000015</v>
      </c>
      <c r="F23" s="149">
        <f>F22</f>
        <v>-47929.319833333349</v>
      </c>
      <c r="G23" s="149">
        <f>E23-F23</f>
        <v>17648.709833333334</v>
      </c>
      <c r="H23" s="149">
        <f>H22</f>
        <v>-30280.610000000015</v>
      </c>
      <c r="I23" s="149">
        <f>I22</f>
        <v>-47929.319833333349</v>
      </c>
      <c r="J23" s="150">
        <f>H23-I23</f>
        <v>17648.709833333334</v>
      </c>
      <c r="K23" s="2"/>
      <c r="L23" s="48"/>
      <c r="P23" s="43"/>
    </row>
    <row r="24" spans="1:16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L24" s="43"/>
    </row>
    <row r="26" spans="1:16" x14ac:dyDescent="0.25">
      <c r="E26" s="43"/>
      <c r="F26" s="43"/>
      <c r="H26" s="43"/>
      <c r="I26" s="43"/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J28" s="43"/>
    </row>
    <row r="29" spans="1:16" x14ac:dyDescent="0.25">
      <c r="H29" s="43"/>
      <c r="I29" s="43"/>
    </row>
    <row r="30" spans="1:16" x14ac:dyDescent="0.25">
      <c r="F30" s="43"/>
      <c r="H30" s="43"/>
    </row>
    <row r="31" spans="1:16" x14ac:dyDescent="0.25">
      <c r="F31" s="43"/>
      <c r="H31" s="43"/>
      <c r="J31" s="43"/>
    </row>
    <row r="32" spans="1:16" x14ac:dyDescent="0.25">
      <c r="F32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US Balance Sheet Year over Year</vt:lpstr>
      <vt:lpstr>Balance Sheet Summary</vt:lpstr>
      <vt:lpstr>Jan 22  P&amp;L</vt:lpstr>
      <vt:lpstr>YTD US Profit and Loss</vt:lpstr>
      <vt:lpstr>Q4 Combined P&amp;L</vt:lpstr>
      <vt:lpstr>Q2 2021 combined P&amp;L</vt:lpstr>
      <vt:lpstr>YOY YTD</vt:lpstr>
      <vt:lpstr>Board Summary</vt:lpstr>
      <vt:lpstr>US P&amp;L Year over Year</vt:lpstr>
      <vt:lpstr>FINAL Approved FY 21 Bud</vt:lpstr>
      <vt:lpstr>US Cash Flow stmt</vt:lpstr>
      <vt:lpstr>Open AP</vt:lpstr>
      <vt:lpstr>Open AR</vt:lpstr>
      <vt:lpstr>FY21 APPROVED Budget by month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2022-02-18T03:12:51Z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